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electricity\"/>
    </mc:Choice>
  </mc:AlternateContent>
  <xr:revisionPtr revIDLastSave="0" documentId="13_ncr:1_{ECC5DDFB-AB55-47B4-917F-21F70A4A1AB1}" xr6:coauthVersionLast="45" xr6:coauthVersionMax="47" xr10:uidLastSave="{00000000-0000-0000-0000-000000000000}"/>
  <bookViews>
    <workbookView xWindow="29160" yWindow="150" windowWidth="27660" windowHeight="15285" activeTab="1" xr2:uid="{47C55A45-8523-4E79-AEB1-FD7B9B56D987}"/>
  </bookViews>
  <sheets>
    <sheet name="Sheet1" sheetId="1" r:id="rId1"/>
    <sheet name="Sheet3" sheetId="3" r:id="rId2"/>
    <sheet name="Sheet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0" i="3" l="1"/>
  <c r="C49" i="3"/>
  <c r="C48" i="3"/>
  <c r="C47" i="3"/>
  <c r="B50" i="3"/>
  <c r="B49" i="3"/>
  <c r="B48" i="3"/>
  <c r="B47" i="3"/>
  <c r="D42" i="3"/>
  <c r="D43" i="3"/>
  <c r="J40" i="3"/>
  <c r="J38" i="3"/>
  <c r="J36" i="3"/>
  <c r="E43" i="3"/>
  <c r="C43" i="3"/>
  <c r="E41" i="3"/>
  <c r="D41" i="3"/>
  <c r="C41" i="3"/>
  <c r="E40" i="3"/>
  <c r="D40" i="3"/>
  <c r="C40" i="3"/>
  <c r="B41" i="3"/>
  <c r="B40" i="3"/>
  <c r="E39" i="3"/>
  <c r="D39" i="3"/>
  <c r="C39" i="3"/>
  <c r="B39" i="3"/>
  <c r="E38" i="3"/>
  <c r="D38" i="3"/>
  <c r="C38" i="3"/>
  <c r="B38" i="3"/>
  <c r="K38" i="3"/>
  <c r="K36" i="3"/>
  <c r="J34" i="3"/>
  <c r="J33" i="3"/>
  <c r="J32" i="3"/>
  <c r="J31" i="3"/>
  <c r="J30" i="3"/>
  <c r="J29" i="3"/>
  <c r="J28" i="3"/>
  <c r="J27" i="3"/>
  <c r="J26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K13" i="3" l="1"/>
  <c r="K12" i="3"/>
  <c r="K11" i="3"/>
  <c r="K10" i="3"/>
  <c r="I13" i="3"/>
  <c r="J13" i="3" s="1"/>
  <c r="I12" i="3"/>
  <c r="J12" i="3" s="1"/>
  <c r="I11" i="3"/>
  <c r="J11" i="3" s="1"/>
  <c r="I10" i="3"/>
  <c r="J10" i="3" l="1"/>
  <c r="K23" i="3" l="1"/>
  <c r="K22" i="3"/>
  <c r="D25" i="3" l="1"/>
  <c r="C25" i="3"/>
  <c r="I25" i="3" s="1"/>
  <c r="B25" i="3"/>
  <c r="I23" i="3"/>
  <c r="J23" i="3" s="1"/>
  <c r="I22" i="3"/>
  <c r="J22" i="3" s="1"/>
  <c r="L36" i="3"/>
  <c r="L21" i="3"/>
  <c r="K21" i="3"/>
  <c r="C21" i="3"/>
  <c r="I21" i="3" s="1"/>
  <c r="J21" i="3" s="1"/>
  <c r="L20" i="3"/>
  <c r="K20" i="3"/>
  <c r="L19" i="3"/>
  <c r="K19" i="3"/>
  <c r="I19" i="3"/>
  <c r="J19" i="3" s="1"/>
  <c r="L18" i="3"/>
  <c r="K18" i="3"/>
  <c r="I18" i="3"/>
  <c r="J18" i="3" s="1"/>
  <c r="L17" i="3"/>
  <c r="K17" i="3"/>
  <c r="I17" i="3"/>
  <c r="J17" i="3" s="1"/>
  <c r="L16" i="3"/>
  <c r="K16" i="3"/>
  <c r="I16" i="3"/>
  <c r="J16" i="3" s="1"/>
  <c r="L15" i="3"/>
  <c r="K15" i="3"/>
  <c r="I15" i="3"/>
  <c r="J15" i="3" s="1"/>
  <c r="L14" i="3"/>
  <c r="K14" i="3"/>
  <c r="I14" i="3"/>
  <c r="J14" i="3" l="1"/>
  <c r="K24" i="3"/>
  <c r="K25" i="3"/>
  <c r="H25" i="3"/>
  <c r="J25" i="3" s="1"/>
  <c r="H24" i="3"/>
  <c r="I24" i="3"/>
  <c r="I20" i="3"/>
  <c r="J20" i="3" s="1"/>
  <c r="Q22" i="1"/>
  <c r="I36" i="3" l="1"/>
  <c r="I38" i="3" s="1"/>
  <c r="J24" i="3"/>
  <c r="Q34" i="1"/>
  <c r="Q32" i="1"/>
  <c r="Q30" i="1"/>
  <c r="K24" i="1"/>
  <c r="K23" i="1"/>
  <c r="I23" i="1"/>
  <c r="L12" i="1"/>
  <c r="L19" i="1"/>
  <c r="L18" i="1"/>
  <c r="L17" i="1"/>
  <c r="L16" i="1"/>
  <c r="L15" i="1"/>
  <c r="L14" i="1"/>
  <c r="L13" i="1"/>
  <c r="G24" i="1"/>
  <c r="Q14" i="1"/>
  <c r="Q11" i="1"/>
  <c r="Q5" i="1"/>
  <c r="Q8" i="1"/>
  <c r="G23" i="1"/>
  <c r="G21" i="1"/>
  <c r="G19" i="1"/>
  <c r="G18" i="1"/>
  <c r="G17" i="1"/>
  <c r="G16" i="1"/>
  <c r="G15" i="1"/>
  <c r="G14" i="1"/>
  <c r="G13" i="1"/>
  <c r="G12" i="1"/>
  <c r="K21" i="1"/>
  <c r="K19" i="1"/>
  <c r="K18" i="1"/>
  <c r="K17" i="1"/>
  <c r="K16" i="1"/>
  <c r="K15" i="1"/>
  <c r="K14" i="1"/>
  <c r="K13" i="1"/>
  <c r="K12" i="1"/>
  <c r="E21" i="1" l="1"/>
  <c r="R7" i="1" l="1"/>
  <c r="B19" i="1"/>
  <c r="F19" i="1" s="1"/>
  <c r="M19" i="1" s="1"/>
  <c r="M38" i="1"/>
  <c r="M37" i="1"/>
  <c r="M36" i="1"/>
  <c r="M35" i="1"/>
  <c r="M34" i="1"/>
  <c r="M33" i="1"/>
  <c r="M32" i="1"/>
  <c r="M31" i="1"/>
  <c r="M30" i="1"/>
  <c r="L38" i="1"/>
  <c r="L37" i="1"/>
  <c r="L36" i="1"/>
  <c r="L35" i="1"/>
  <c r="L34" i="1"/>
  <c r="L33" i="1"/>
  <c r="L32" i="1"/>
  <c r="L31" i="1"/>
  <c r="L30" i="1"/>
  <c r="J19" i="1"/>
  <c r="J18" i="1"/>
  <c r="J17" i="1"/>
  <c r="J16" i="1"/>
  <c r="J15" i="1"/>
  <c r="J14" i="1"/>
  <c r="J13" i="1"/>
  <c r="J12" i="1"/>
  <c r="I19" i="1"/>
  <c r="I18" i="1"/>
  <c r="I17" i="1"/>
  <c r="I16" i="1"/>
  <c r="I15" i="1"/>
  <c r="R11" i="1" s="1"/>
  <c r="R12" i="1" s="1"/>
  <c r="I14" i="1"/>
  <c r="R14" i="1" s="1"/>
  <c r="R15" i="1" s="1"/>
  <c r="I13" i="1"/>
  <c r="R5" i="1" s="1"/>
  <c r="I12" i="1"/>
  <c r="R8" i="1" s="1"/>
  <c r="R9" i="1" s="1"/>
  <c r="F18" i="1"/>
  <c r="F17" i="1"/>
  <c r="F16" i="1"/>
  <c r="M16" i="1" s="1"/>
  <c r="F15" i="1"/>
  <c r="F14" i="1"/>
  <c r="F13" i="1"/>
  <c r="Q6" i="1" s="1"/>
  <c r="F12" i="1"/>
  <c r="R10" i="1" l="1"/>
  <c r="Q16" i="1"/>
  <c r="R13" i="1"/>
  <c r="R6" i="1"/>
  <c r="R18" i="1" s="1"/>
  <c r="R16" i="1"/>
  <c r="M12" i="1"/>
  <c r="F21" i="1"/>
  <c r="I21" i="1"/>
  <c r="J21" i="1"/>
  <c r="M13" i="1"/>
  <c r="N13" i="1" s="1"/>
  <c r="M15" i="1"/>
  <c r="M14" i="1"/>
  <c r="N14" i="1" s="1"/>
  <c r="M17" i="1"/>
  <c r="N17" i="1" s="1"/>
  <c r="N16" i="1"/>
  <c r="M18" i="1"/>
  <c r="N18" i="1" s="1"/>
  <c r="N19" i="1"/>
  <c r="J24" i="2"/>
  <c r="J20" i="2"/>
  <c r="I26" i="2"/>
  <c r="I25" i="2"/>
  <c r="I24" i="2"/>
  <c r="L24" i="2" s="1"/>
  <c r="I23" i="2"/>
  <c r="J23" i="2" s="1"/>
  <c r="L23" i="2" s="1"/>
  <c r="I22" i="2"/>
  <c r="I21" i="2"/>
  <c r="I20" i="2"/>
  <c r="L20" i="2" s="1"/>
  <c r="I19" i="2"/>
  <c r="J19" i="2" s="1"/>
  <c r="L19" i="2" s="1"/>
  <c r="I18" i="2"/>
  <c r="Y9" i="1" l="1"/>
  <c r="Y5" i="1"/>
  <c r="R21" i="1"/>
  <c r="Y8" i="1"/>
  <c r="Y7" i="1"/>
  <c r="R20" i="1"/>
  <c r="Y28" i="1"/>
  <c r="Y6" i="1"/>
  <c r="L21" i="1"/>
  <c r="Q15" i="1"/>
  <c r="Q13" i="1"/>
  <c r="Q7" i="1"/>
  <c r="Q9" i="1"/>
  <c r="N15" i="1"/>
  <c r="Q12" i="1"/>
  <c r="Q10" i="1"/>
  <c r="L26" i="2"/>
  <c r="L21" i="2"/>
  <c r="J21" i="2"/>
  <c r="J25" i="2"/>
  <c r="L25" i="2" s="1"/>
  <c r="J18" i="2"/>
  <c r="J28" i="2" s="1"/>
  <c r="J22" i="2"/>
  <c r="L22" i="2" s="1"/>
  <c r="J26" i="2"/>
  <c r="F23" i="1"/>
  <c r="N12" i="1"/>
  <c r="N21" i="1" s="1"/>
  <c r="M21" i="1"/>
  <c r="M9" i="2"/>
  <c r="E9" i="2"/>
  <c r="Y31" i="1" l="1"/>
  <c r="Q18" i="1"/>
  <c r="L18" i="2"/>
  <c r="L28" i="2" s="1"/>
  <c r="K9" i="2"/>
  <c r="D9" i="2"/>
  <c r="H9" i="2"/>
  <c r="C9" i="2"/>
  <c r="G9" i="2"/>
  <c r="I9" i="2"/>
  <c r="B9" i="2"/>
  <c r="P9" i="2" s="1"/>
  <c r="J9" i="2"/>
  <c r="F9" i="2"/>
  <c r="L9" i="2"/>
  <c r="Q20" i="1" l="1"/>
  <c r="Q21" i="1"/>
  <c r="H40" i="1"/>
  <c r="H41" i="1" s="1"/>
  <c r="G41" i="1" s="1"/>
  <c r="G40" i="1"/>
  <c r="F40" i="1"/>
  <c r="I40" i="1"/>
  <c r="J40" i="1"/>
  <c r="J43" i="1" s="1"/>
  <c r="S16" i="1" l="1"/>
  <c r="S5" i="1"/>
  <c r="S6" i="1"/>
  <c r="S11" i="1"/>
  <c r="S8" i="1"/>
  <c r="S14" i="1"/>
  <c r="S10" i="1"/>
  <c r="S9" i="1"/>
  <c r="S13" i="1"/>
  <c r="S12" i="1"/>
  <c r="S7" i="1"/>
  <c r="S15" i="1"/>
  <c r="L40" i="1"/>
  <c r="M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SWAMP</author>
    <author>User</author>
  </authors>
  <commentList>
    <comment ref="B19" authorId="0" shapeId="0" xr:uid="{42EFF624-0763-42A5-9EE2-23981D0C4753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adjust date reading</t>
        </r>
      </text>
    </comment>
    <comment ref="K23" authorId="1" shapeId="0" xr:uid="{DA956F68-0E04-404E-87C6-4FB44FD4351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average excess</t>
        </r>
      </text>
    </comment>
    <comment ref="K24" authorId="1" shapeId="0" xr:uid="{3F74E3F6-4146-43FB-934E-DE746707E7F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winter excess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SWAMP</author>
  </authors>
  <commentList>
    <comment ref="C21" authorId="0" shapeId="0" xr:uid="{F83DF8C2-295C-4663-B69F-C05F9DCD68AE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adjust date reading</t>
        </r>
      </text>
    </comment>
  </commentList>
</comments>
</file>

<file path=xl/sharedStrings.xml><?xml version="1.0" encoding="utf-8"?>
<sst xmlns="http://schemas.openxmlformats.org/spreadsheetml/2006/main" count="238" uniqueCount="114">
  <si>
    <t>General</t>
  </si>
  <si>
    <t>Controlled</t>
  </si>
  <si>
    <t>March - June 2020</t>
  </si>
  <si>
    <t>days</t>
  </si>
  <si>
    <t>Solar</t>
  </si>
  <si>
    <t>Dec - March 2020</t>
  </si>
  <si>
    <t>Sept - Dec 2019</t>
  </si>
  <si>
    <t>general</t>
  </si>
  <si>
    <t>control</t>
  </si>
  <si>
    <t>solar</t>
  </si>
  <si>
    <t>supply</t>
  </si>
  <si>
    <t>June - Sept 2019</t>
  </si>
  <si>
    <t>March - June 2019</t>
  </si>
  <si>
    <t>Dec - March 2019</t>
  </si>
  <si>
    <t>Sept - Dec 2018</t>
  </si>
  <si>
    <t>June - Sept 2018</t>
  </si>
  <si>
    <t>March - June 2018</t>
  </si>
  <si>
    <t>Dec - March 2018</t>
  </si>
  <si>
    <t>Sept - Dec 2017</t>
  </si>
  <si>
    <t>June - Sept 2017</t>
  </si>
  <si>
    <t xml:space="preserve">calculate </t>
  </si>
  <si>
    <t>calc</t>
  </si>
  <si>
    <t>step 2</t>
  </si>
  <si>
    <t>step 1</t>
  </si>
  <si>
    <t>kWhr</t>
  </si>
  <si>
    <t>2015-16</t>
  </si>
  <si>
    <t>2016-17</t>
  </si>
  <si>
    <t>2017-18</t>
  </si>
  <si>
    <t>2018-19</t>
  </si>
  <si>
    <t>2019-20</t>
  </si>
  <si>
    <t>average</t>
  </si>
  <si>
    <t>kWhrs/mth</t>
  </si>
  <si>
    <t>Solar generation</t>
  </si>
  <si>
    <t>kWhrs total generated over 5 years</t>
  </si>
  <si>
    <t>Energy usage</t>
  </si>
  <si>
    <t>HWS</t>
  </si>
  <si>
    <t>export</t>
  </si>
  <si>
    <t>generated</t>
  </si>
  <si>
    <t xml:space="preserve">solar </t>
  </si>
  <si>
    <t>sept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</si>
  <si>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</si>
  <si>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</si>
  <si>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</si>
  <si>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</si>
  <si>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</si>
  <si>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</si>
  <si>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</si>
  <si>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</si>
  <si>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</si>
  <si>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</si>
  <si>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</si>
  <si>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used</t>
  </si>
  <si>
    <t xml:space="preserve">percent </t>
  </si>
  <si>
    <t>c/kwhr rebate</t>
  </si>
  <si>
    <t>c/kwh price</t>
  </si>
  <si>
    <t>June - Sept 2020</t>
  </si>
  <si>
    <t>Sept - Dec 2020</t>
  </si>
  <si>
    <t>Dec - March 2021</t>
  </si>
  <si>
    <t>March - June 2021</t>
  </si>
  <si>
    <t>March - June 2022</t>
  </si>
  <si>
    <t>Dec - March 2022</t>
  </si>
  <si>
    <t>Sept - Dec 2021</t>
  </si>
  <si>
    <t>June - Sept 2021</t>
  </si>
  <si>
    <t>March - June 2023</t>
  </si>
  <si>
    <t>Dec - March 2023</t>
  </si>
  <si>
    <t>Sept - Dec 2022</t>
  </si>
  <si>
    <t>June - Sept 2022</t>
  </si>
  <si>
    <t>current</t>
  </si>
  <si>
    <t>new</t>
  </si>
  <si>
    <t>controlled</t>
  </si>
  <si>
    <t>feed in</t>
  </si>
  <si>
    <t>difference</t>
  </si>
  <si>
    <t>use per day</t>
  </si>
  <si>
    <t>kWh/day</t>
  </si>
  <si>
    <t>sep</t>
  </si>
  <si>
    <t>factor</t>
  </si>
  <si>
    <t>summer</t>
  </si>
  <si>
    <t>winter</t>
  </si>
  <si>
    <t>shoulder</t>
  </si>
  <si>
    <t>control factor</t>
  </si>
  <si>
    <t>kWhr/day</t>
  </si>
  <si>
    <t>daily&gt;&gt;</t>
  </si>
  <si>
    <t>ave monthly&gt;&gt;</t>
  </si>
  <si>
    <t>FIT</t>
  </si>
  <si>
    <t>inc solar</t>
  </si>
  <si>
    <t xml:space="preserve">with a reduced cost of controlled load </t>
  </si>
  <si>
    <t>tot demand =</t>
  </si>
  <si>
    <t>controlled =</t>
  </si>
  <si>
    <t>win demand</t>
  </si>
  <si>
    <t>summer dem</t>
  </si>
  <si>
    <t>June - Sept 2023</t>
  </si>
  <si>
    <t>Sept - Dec 2023</t>
  </si>
  <si>
    <t>Dec - March 2024</t>
  </si>
  <si>
    <t>March - June 2024</t>
  </si>
  <si>
    <t>power</t>
  </si>
  <si>
    <t>Period</t>
  </si>
  <si>
    <t>recorded</t>
  </si>
  <si>
    <t>Sept-Dec</t>
  </si>
  <si>
    <t>Dec-Mar</t>
  </si>
  <si>
    <t>Mar-Jun</t>
  </si>
  <si>
    <t>Jun-Sep</t>
  </si>
  <si>
    <t xml:space="preserve">Solar </t>
  </si>
  <si>
    <t>quarters</t>
  </si>
  <si>
    <t>per year</t>
  </si>
  <si>
    <t>this from panel info</t>
  </si>
  <si>
    <t>total power</t>
  </si>
  <si>
    <t>march-june</t>
  </si>
  <si>
    <t>dec-mar</t>
  </si>
  <si>
    <t>sept-dec</t>
  </si>
  <si>
    <t>june-sept</t>
  </si>
  <si>
    <t>Average</t>
  </si>
  <si>
    <t xml:space="preserve">For model </t>
  </si>
  <si>
    <t>ave usage</t>
  </si>
  <si>
    <t>General use proportions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</si>
</sst>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$&quot;* #,##0.00_-;\-&quot;$&quot;* #,##0.00_-;_-&quot;$&quot;* &quot;-&quot;??_-;_-@_-"/>
    <numFmt numFmtId="165" formatCode="_-[$$-C09]* #,##0.00_-;\-[$$-C09]* #,##0.00_-;_-[$$-C09]* &quot;-&quot;??_-;_-@_-"/>
    <numFmt numFmtId="166" formatCode="[$$-C09]#,##0.00"/>
    <numFmt numFmtId="167" formatCode="0.000"/>
    <numFmt numFmtId="168" formatCode="0.0"/>
    <numFmt numFmtId="169" formatCode="#,##0.000_ ;\-#,##0.000\ "/>
    <numFmt numFmtId="170" formatCode="#,##0.00_ ;\-#,##0.00\ 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</patternFill>
    </fill>
  </fills>
  <borders count="1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7" fillId="7" borderId="12" applyNumberFormat="0" applyAlignment="0" applyProtection="0"/>
  </cellStyleXfs>
  <cellXfs count="61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4" xfId="0" applyNumberFormat="1" applyBorder="1"/>
    <xf numFmtId="164" fontId="0" fillId="0" borderId="5" xfId="0" applyNumberFormat="1" applyBorder="1"/>
    <xf numFmtId="0" fontId="0" fillId="0" borderId="8" xfId="0" applyBorder="1"/>
    <xf numFmtId="164" fontId="1" fillId="0" borderId="6" xfId="1" applyNumberFormat="1" applyBorder="1"/>
    <xf numFmtId="164" fontId="0" fillId="0" borderId="9" xfId="0" applyNumberFormat="1" applyBorder="1"/>
    <xf numFmtId="164" fontId="0" fillId="0" borderId="7" xfId="0" applyNumberFormat="1" applyBorder="1"/>
    <xf numFmtId="165" fontId="0" fillId="0" borderId="0" xfId="0" applyNumberFormat="1"/>
    <xf numFmtId="166" fontId="0" fillId="0" borderId="0" xfId="0" applyNumberFormat="1" applyAlignment="1">
      <alignment horizontal="center"/>
    </xf>
    <xf numFmtId="167" fontId="0" fillId="0" borderId="0" xfId="0" applyNumberFormat="1"/>
    <xf numFmtId="168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10" fontId="0" fillId="0" borderId="0" xfId="0" applyNumberFormat="1"/>
    <xf numFmtId="0" fontId="1" fillId="0" borderId="1" xfId="1"/>
    <xf numFmtId="0" fontId="1" fillId="0" borderId="0" xfId="1" applyBorder="1"/>
    <xf numFmtId="166" fontId="0" fillId="0" borderId="2" xfId="0" applyNumberFormat="1" applyBorder="1"/>
    <xf numFmtId="166" fontId="0" fillId="0" borderId="8" xfId="0" applyNumberFormat="1" applyBorder="1"/>
    <xf numFmtId="166" fontId="0" fillId="0" borderId="3" xfId="0" applyNumberFormat="1" applyBorder="1"/>
    <xf numFmtId="166" fontId="0" fillId="0" borderId="4" xfId="0" applyNumberFormat="1" applyBorder="1"/>
    <xf numFmtId="166" fontId="0" fillId="0" borderId="5" xfId="0" applyNumberFormat="1" applyBorder="1"/>
    <xf numFmtId="167" fontId="1" fillId="0" borderId="0" xfId="1" applyNumberFormat="1" applyBorder="1"/>
    <xf numFmtId="0" fontId="0" fillId="6" borderId="0" xfId="0" applyFill="1" applyAlignment="1">
      <alignment horizontal="center"/>
    </xf>
    <xf numFmtId="2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168" fontId="1" fillId="0" borderId="1" xfId="1" applyNumberFormat="1"/>
    <xf numFmtId="166" fontId="0" fillId="0" borderId="0" xfId="0" applyNumberFormat="1" applyBorder="1"/>
    <xf numFmtId="166" fontId="1" fillId="0" borderId="10" xfId="1" applyNumberFormat="1" applyBorder="1"/>
    <xf numFmtId="166" fontId="1" fillId="0" borderId="1" xfId="1" applyNumberFormat="1" applyBorder="1"/>
    <xf numFmtId="166" fontId="1" fillId="0" borderId="11" xfId="1" applyNumberFormat="1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center"/>
    </xf>
    <xf numFmtId="2" fontId="1" fillId="0" borderId="0" xfId="1" applyNumberFormat="1" applyBorder="1"/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1" fontId="7" fillId="7" borderId="12" xfId="2" applyNumberFormat="1" applyAlignment="1">
      <alignment horizontal="center"/>
    </xf>
    <xf numFmtId="0" fontId="8" fillId="0" borderId="0" xfId="0" applyFont="1"/>
    <xf numFmtId="0" fontId="0" fillId="3" borderId="0" xfId="0" applyFill="1" applyAlignment="1">
      <alignment horizontal="center"/>
    </xf>
    <xf numFmtId="0" fontId="8" fillId="3" borderId="0" xfId="0" applyFont="1" applyFill="1"/>
    <xf numFmtId="1" fontId="1" fillId="0" borderId="1" xfId="1" applyNumberFormat="1"/>
    <xf numFmtId="168" fontId="0" fillId="0" borderId="0" xfId="0" applyNumberFormat="1" applyAlignment="1">
      <alignment horizontal="center"/>
    </xf>
    <xf numFmtId="168" fontId="1" fillId="0" borderId="1" xfId="1" applyNumberFormat="1" applyAlignment="1">
      <alignment horizontal="center"/>
    </xf>
  </cellXfs>
  <cellStyles count="3">
    <cellStyle name="Calculation" xfId="2" builtinId="22"/>
    <cellStyle name="Normal" xfId="0" builtinId="0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83B26-D9B2-4417-98DE-C4C3919BF066}">
  <dimension ref="A1:AG53"/>
  <sheetViews>
    <sheetView topLeftCell="A7" workbookViewId="0">
      <selection activeCell="A5" sqref="A5:K43"/>
    </sheetView>
  </sheetViews>
  <sheetFormatPr defaultRowHeight="15" x14ac:dyDescent="0.25"/>
  <cols>
    <col min="4" max="4" width="21.28515625" customWidth="1"/>
    <col min="5" max="5" width="7.5703125" customWidth="1"/>
    <col min="6" max="6" width="9.7109375" customWidth="1"/>
    <col min="7" max="7" width="9.28515625" customWidth="1"/>
    <col min="8" max="8" width="9.42578125" customWidth="1"/>
    <col min="9" max="9" width="10.140625" customWidth="1"/>
    <col min="10" max="11" width="10.28515625" customWidth="1"/>
    <col min="12" max="12" width="11.7109375" customWidth="1"/>
    <col min="13" max="14" width="10.42578125" customWidth="1"/>
    <col min="15" max="15" width="4.140625" customWidth="1"/>
    <col min="16" max="16" width="13.28515625" customWidth="1"/>
    <col min="17" max="17" width="12.28515625" style="1" customWidth="1"/>
    <col min="18" max="18" width="11.28515625" customWidth="1"/>
    <col min="19" max="19" width="15.28515625" style="1" customWidth="1"/>
    <col min="20" max="20" width="4.42578125" customWidth="1"/>
    <col min="21" max="21" width="5" style="1" customWidth="1"/>
    <col min="22" max="22" width="9.85546875" customWidth="1"/>
    <col min="23" max="23" width="9.5703125" style="1" customWidth="1"/>
    <col min="24" max="24" width="9.7109375" customWidth="1"/>
    <col min="25" max="25" width="11.28515625" style="1" customWidth="1"/>
    <col min="26" max="26" width="9.140625" customWidth="1"/>
    <col min="27" max="27" width="8.7109375" customWidth="1"/>
    <col min="28" max="28" width="9.28515625" customWidth="1"/>
    <col min="29" max="30" width="8.85546875" customWidth="1"/>
    <col min="31" max="31" width="12.85546875" customWidth="1"/>
    <col min="32" max="32" width="2.42578125" customWidth="1"/>
    <col min="33" max="33" width="11.7109375" customWidth="1"/>
  </cols>
  <sheetData>
    <row r="1" spans="1:31" x14ac:dyDescent="0.25">
      <c r="V1" t="s">
        <v>79</v>
      </c>
      <c r="X1">
        <v>0.5</v>
      </c>
    </row>
    <row r="2" spans="1:31" x14ac:dyDescent="0.25">
      <c r="T2" s="1"/>
    </row>
    <row r="3" spans="1:31" x14ac:dyDescent="0.25">
      <c r="J3" t="s">
        <v>7</v>
      </c>
      <c r="L3">
        <v>32.799999999999997</v>
      </c>
      <c r="M3">
        <v>47.9</v>
      </c>
      <c r="Q3" s="1" t="s">
        <v>7</v>
      </c>
      <c r="R3" t="s">
        <v>69</v>
      </c>
      <c r="S3" s="1" t="s">
        <v>75</v>
      </c>
      <c r="T3" s="1"/>
      <c r="U3" s="5"/>
      <c r="V3" s="1" t="s">
        <v>76</v>
      </c>
      <c r="W3" s="1" t="s">
        <v>77</v>
      </c>
      <c r="X3" s="1" t="s">
        <v>78</v>
      </c>
      <c r="Y3" s="1" t="s">
        <v>69</v>
      </c>
    </row>
    <row r="4" spans="1:31" x14ac:dyDescent="0.25">
      <c r="T4" s="1"/>
      <c r="U4" s="5"/>
    </row>
    <row r="5" spans="1:31" x14ac:dyDescent="0.25">
      <c r="J5" t="s">
        <v>69</v>
      </c>
      <c r="L5">
        <v>16.95</v>
      </c>
      <c r="M5">
        <v>26.95</v>
      </c>
      <c r="P5" s="1" t="s">
        <v>43</v>
      </c>
      <c r="Q5" s="5">
        <f>(G13+G17)/6</f>
        <v>464.06666666666666</v>
      </c>
      <c r="R5" s="5">
        <f>(I13+I17)/6</f>
        <v>211.66666666666666</v>
      </c>
      <c r="S5" s="37">
        <f>Q5/$Q$20</f>
        <v>0.78759545641940232</v>
      </c>
      <c r="T5" s="1">
        <v>0</v>
      </c>
      <c r="U5" s="38">
        <v>1</v>
      </c>
      <c r="V5" s="20"/>
      <c r="W5" s="37">
        <v>7.4626865671641807E-3</v>
      </c>
      <c r="X5" s="20"/>
      <c r="Y5" s="37">
        <f>$R$18/72</f>
        <v>35.076388888888886</v>
      </c>
    </row>
    <row r="6" spans="1:31" x14ac:dyDescent="0.25">
      <c r="J6" t="s">
        <v>10</v>
      </c>
      <c r="L6">
        <v>93.05</v>
      </c>
      <c r="M6">
        <v>107.54</v>
      </c>
      <c r="P6" s="1" t="s">
        <v>44</v>
      </c>
      <c r="Q6" s="5">
        <f>Q5</f>
        <v>464.06666666666666</v>
      </c>
      <c r="R6" s="5">
        <f>R5</f>
        <v>211.66666666666666</v>
      </c>
      <c r="S6" s="37">
        <f t="shared" ref="S6:S16" si="0">Q6/$Q$20</f>
        <v>0.78759545641940232</v>
      </c>
      <c r="T6" s="1">
        <v>1</v>
      </c>
      <c r="U6" s="38">
        <v>2</v>
      </c>
      <c r="V6" s="20"/>
      <c r="W6" s="37">
        <v>7.4626865671641807E-3</v>
      </c>
      <c r="X6" s="20"/>
      <c r="Y6" s="37">
        <f t="shared" ref="Y6:Y9" si="1">$R$18/72</f>
        <v>35.076388888888886</v>
      </c>
    </row>
    <row r="7" spans="1:31" x14ac:dyDescent="0.25">
      <c r="J7" t="s">
        <v>70</v>
      </c>
      <c r="L7">
        <v>14</v>
      </c>
      <c r="M7">
        <v>14</v>
      </c>
      <c r="P7" s="35" t="s">
        <v>45</v>
      </c>
      <c r="Q7" s="36">
        <f>Q8</f>
        <v>508.63333333333338</v>
      </c>
      <c r="R7" s="36">
        <f>R8</f>
        <v>220.83333333333334</v>
      </c>
      <c r="S7" s="37">
        <f t="shared" si="0"/>
        <v>0.86323222737420346</v>
      </c>
      <c r="T7" s="1">
        <v>2</v>
      </c>
      <c r="U7" s="38">
        <v>3</v>
      </c>
      <c r="V7" s="20"/>
      <c r="W7" s="37">
        <v>7.4626865671641807E-3</v>
      </c>
      <c r="X7" s="20"/>
      <c r="Y7" s="37">
        <f t="shared" si="1"/>
        <v>35.076388888888886</v>
      </c>
    </row>
    <row r="8" spans="1:31" ht="15.75" thickBot="1" x14ac:dyDescent="0.3">
      <c r="M8" s="2"/>
      <c r="N8" s="2"/>
      <c r="P8" s="35" t="s">
        <v>46</v>
      </c>
      <c r="Q8" s="36">
        <f>(G12+G16)/6</f>
        <v>508.63333333333338</v>
      </c>
      <c r="R8" s="36">
        <f>(I12+I16)/6</f>
        <v>220.83333333333334</v>
      </c>
      <c r="S8" s="37">
        <f t="shared" si="0"/>
        <v>0.86323222737420346</v>
      </c>
      <c r="T8" s="1">
        <v>3</v>
      </c>
      <c r="U8" s="38">
        <v>4</v>
      </c>
      <c r="V8" s="20"/>
      <c r="W8" s="37">
        <v>7.4626865671641807E-3</v>
      </c>
      <c r="X8" s="20"/>
      <c r="Y8" s="37">
        <f t="shared" si="1"/>
        <v>35.076388888888886</v>
      </c>
      <c r="AE8" s="2"/>
    </row>
    <row r="9" spans="1:31" x14ac:dyDescent="0.25">
      <c r="G9" t="s">
        <v>7</v>
      </c>
      <c r="J9" t="s">
        <v>83</v>
      </c>
      <c r="K9" t="s">
        <v>37</v>
      </c>
      <c r="L9" s="6" t="s">
        <v>20</v>
      </c>
      <c r="M9" s="14" t="s">
        <v>21</v>
      </c>
      <c r="N9" s="7" t="s">
        <v>71</v>
      </c>
      <c r="P9" s="35" t="s">
        <v>47</v>
      </c>
      <c r="Q9" s="36">
        <f>Q8</f>
        <v>508.63333333333338</v>
      </c>
      <c r="R9" s="36">
        <f>R8</f>
        <v>220.83333333333334</v>
      </c>
      <c r="S9" s="37">
        <f t="shared" si="0"/>
        <v>0.86323222737420346</v>
      </c>
      <c r="T9" s="1">
        <v>4</v>
      </c>
      <c r="U9" s="38">
        <v>5</v>
      </c>
      <c r="V9" s="20"/>
      <c r="W9" s="37">
        <v>7.4626865671641807E-3</v>
      </c>
      <c r="X9" s="20"/>
      <c r="Y9" s="37">
        <f t="shared" si="1"/>
        <v>35.076388888888886</v>
      </c>
    </row>
    <row r="10" spans="1:31" x14ac:dyDescent="0.25">
      <c r="A10" t="s">
        <v>8</v>
      </c>
      <c r="B10" t="s">
        <v>7</v>
      </c>
      <c r="C10" t="s">
        <v>9</v>
      </c>
      <c r="E10" t="s">
        <v>3</v>
      </c>
      <c r="F10" t="s">
        <v>0</v>
      </c>
      <c r="G10" t="s">
        <v>84</v>
      </c>
      <c r="I10" t="s">
        <v>1</v>
      </c>
      <c r="J10" t="s">
        <v>4</v>
      </c>
      <c r="K10" t="s">
        <v>9</v>
      </c>
      <c r="L10" s="8" t="s">
        <v>67</v>
      </c>
      <c r="M10" t="s">
        <v>68</v>
      </c>
      <c r="N10" s="9"/>
      <c r="P10" s="1" t="s">
        <v>48</v>
      </c>
      <c r="Q10" s="5">
        <f>Q11</f>
        <v>696.6450000000001</v>
      </c>
      <c r="R10" s="5">
        <f>R11</f>
        <v>241.5</v>
      </c>
      <c r="S10" s="37">
        <f t="shared" si="0"/>
        <v>1.1823181369141529</v>
      </c>
      <c r="T10" s="1">
        <v>5</v>
      </c>
      <c r="U10" s="38">
        <v>6</v>
      </c>
      <c r="V10" s="20"/>
      <c r="W10" s="37">
        <v>7.4626865671641807E-3</v>
      </c>
      <c r="X10" s="20"/>
      <c r="Y10" s="37"/>
    </row>
    <row r="11" spans="1:31" ht="15.75" thickBot="1" x14ac:dyDescent="0.3">
      <c r="F11" t="s">
        <v>24</v>
      </c>
      <c r="I11" t="s">
        <v>24</v>
      </c>
      <c r="J11" t="s">
        <v>24</v>
      </c>
      <c r="K11" t="s">
        <v>24</v>
      </c>
      <c r="L11" s="8"/>
      <c r="N11" s="9"/>
      <c r="P11" s="1" t="s">
        <v>49</v>
      </c>
      <c r="Q11" s="5">
        <f>(G15+G19)/6</f>
        <v>696.6450000000001</v>
      </c>
      <c r="R11" s="5">
        <f>(I15+I19)/6</f>
        <v>241.5</v>
      </c>
      <c r="S11" s="37">
        <f t="shared" si="0"/>
        <v>1.1823181369141529</v>
      </c>
      <c r="T11" s="1">
        <v>6</v>
      </c>
      <c r="U11" s="38">
        <v>7</v>
      </c>
      <c r="V11" s="20"/>
      <c r="W11" s="37">
        <v>7.4626865671641807E-3</v>
      </c>
      <c r="X11" s="20"/>
      <c r="Y11" s="37"/>
    </row>
    <row r="12" spans="1:31" x14ac:dyDescent="0.25">
      <c r="A12">
        <v>17599</v>
      </c>
      <c r="B12">
        <v>31911</v>
      </c>
      <c r="C12">
        <v>34690</v>
      </c>
      <c r="D12" t="s">
        <v>63</v>
      </c>
      <c r="E12">
        <v>91</v>
      </c>
      <c r="F12">
        <f>B12-B13</f>
        <v>1312</v>
      </c>
      <c r="G12">
        <f>F12+K12-J12</f>
        <v>1837.6000000000004</v>
      </c>
      <c r="I12">
        <f>A12-A13</f>
        <v>763</v>
      </c>
      <c r="J12">
        <f>C12-C13</f>
        <v>1020</v>
      </c>
      <c r="K12">
        <f>594.7+432+300.2+218.7</f>
        <v>1545.6000000000001</v>
      </c>
      <c r="L12" s="29">
        <f>(F12*$L$3+I12*$L$5-J12*$L$7+E12*$L$6)/100</f>
        <v>501.54</v>
      </c>
      <c r="M12" s="30">
        <f>(F12*$M$3+I12*$M$5-J12*$M$7+E12*$M$6)/100</f>
        <v>789.13789999999995</v>
      </c>
      <c r="N12" s="31">
        <f>M12-L12</f>
        <v>287.59789999999992</v>
      </c>
      <c r="P12" s="1" t="s">
        <v>50</v>
      </c>
      <c r="Q12" s="5">
        <f>Q11</f>
        <v>696.6450000000001</v>
      </c>
      <c r="R12" s="5">
        <f>R11</f>
        <v>241.5</v>
      </c>
      <c r="S12" s="37">
        <f t="shared" si="0"/>
        <v>1.1823181369141529</v>
      </c>
      <c r="T12" s="1">
        <v>7</v>
      </c>
      <c r="U12" s="38">
        <v>8</v>
      </c>
      <c r="V12" s="20"/>
      <c r="W12" s="37">
        <v>7.4626865671641807E-3</v>
      </c>
      <c r="X12" s="20"/>
      <c r="Y12" s="37"/>
    </row>
    <row r="13" spans="1:31" x14ac:dyDescent="0.25">
      <c r="A13">
        <v>16836</v>
      </c>
      <c r="B13">
        <v>30599</v>
      </c>
      <c r="C13">
        <v>33670</v>
      </c>
      <c r="D13" t="s">
        <v>64</v>
      </c>
      <c r="E13">
        <v>93</v>
      </c>
      <c r="F13">
        <f t="shared" ref="F13:F18" si="2">B13-B14</f>
        <v>764</v>
      </c>
      <c r="G13">
        <f t="shared" ref="G13:G19" si="3">F13+K13-J13</f>
        <v>1765.4</v>
      </c>
      <c r="I13">
        <f t="shared" ref="I13:I18" si="4">A13-A14</f>
        <v>654</v>
      </c>
      <c r="J13">
        <f t="shared" ref="J13:J18" si="5">C13-C14</f>
        <v>1736</v>
      </c>
      <c r="K13">
        <f>1007+981+749.4</f>
        <v>2737.4</v>
      </c>
      <c r="L13" s="32">
        <f>(F13*$L$3+I13*$L$5-J13*$L$7+E13*$L$6)/100</f>
        <v>204.94150000000002</v>
      </c>
      <c r="M13" s="42">
        <f t="shared" ref="M13:M19" si="6">(F13*$M$3+I13*$M$5-J13*$M$7+E13*$M$6)/100</f>
        <v>399.18119999999993</v>
      </c>
      <c r="N13" s="33">
        <f t="shared" ref="N13:N19" si="7">M13-L13</f>
        <v>194.23969999999991</v>
      </c>
      <c r="P13" s="35" t="s">
        <v>74</v>
      </c>
      <c r="Q13" s="36">
        <f>Q14</f>
        <v>687.5333333333333</v>
      </c>
      <c r="R13" s="36">
        <f>R14</f>
        <v>167.83333333333334</v>
      </c>
      <c r="S13" s="37">
        <f t="shared" si="0"/>
        <v>1.1668541792922418</v>
      </c>
      <c r="T13" s="1">
        <v>8</v>
      </c>
      <c r="U13" s="38">
        <v>9</v>
      </c>
      <c r="V13" s="20"/>
      <c r="W13" s="37">
        <v>1.4925373134328361E-2</v>
      </c>
      <c r="X13" s="20"/>
      <c r="Y13" s="37"/>
    </row>
    <row r="14" spans="1:31" x14ac:dyDescent="0.25">
      <c r="A14">
        <v>16182</v>
      </c>
      <c r="B14">
        <v>29835</v>
      </c>
      <c r="C14">
        <v>31934</v>
      </c>
      <c r="D14" t="s">
        <v>65</v>
      </c>
      <c r="E14">
        <v>90</v>
      </c>
      <c r="F14">
        <f t="shared" si="2"/>
        <v>567</v>
      </c>
      <c r="G14">
        <f t="shared" si="3"/>
        <v>1379.1999999999998</v>
      </c>
      <c r="I14">
        <f t="shared" si="4"/>
        <v>408</v>
      </c>
      <c r="J14">
        <f t="shared" si="5"/>
        <v>979</v>
      </c>
      <c r="K14">
        <f>455.9+591.2+744.1</f>
        <v>1791.1999999999998</v>
      </c>
      <c r="L14" s="32">
        <f t="shared" ref="L14:L19" si="8">(F14*$L$3+I14*$L$5-J14*$L$7+E14*$L$6)/100</f>
        <v>201.81699999999998</v>
      </c>
      <c r="M14" s="42">
        <f t="shared" si="6"/>
        <v>341.27499999999998</v>
      </c>
      <c r="N14" s="33">
        <f t="shared" si="7"/>
        <v>139.458</v>
      </c>
      <c r="P14" s="35" t="s">
        <v>40</v>
      </c>
      <c r="Q14" s="36">
        <f>(G14+G18)/6</f>
        <v>687.5333333333333</v>
      </c>
      <c r="R14" s="36">
        <f>(I14+I18)/6</f>
        <v>167.83333333333334</v>
      </c>
      <c r="S14" s="37">
        <f t="shared" si="0"/>
        <v>1.1668541792922418</v>
      </c>
      <c r="T14" s="1">
        <v>9</v>
      </c>
      <c r="U14" s="38">
        <v>10</v>
      </c>
      <c r="V14" s="20"/>
      <c r="W14" s="37">
        <v>1.865671641791045E-2</v>
      </c>
      <c r="X14" s="20"/>
      <c r="Y14" s="37"/>
    </row>
    <row r="15" spans="1:31" x14ac:dyDescent="0.25">
      <c r="A15">
        <v>15774</v>
      </c>
      <c r="B15">
        <v>29268</v>
      </c>
      <c r="C15">
        <v>30955</v>
      </c>
      <c r="D15" t="s">
        <v>66</v>
      </c>
      <c r="E15">
        <v>92</v>
      </c>
      <c r="F15">
        <f t="shared" si="2"/>
        <v>1547</v>
      </c>
      <c r="G15">
        <f t="shared" si="3"/>
        <v>1825.9300000000003</v>
      </c>
      <c r="I15">
        <f t="shared" si="4"/>
        <v>745</v>
      </c>
      <c r="J15">
        <f t="shared" si="5"/>
        <v>593</v>
      </c>
      <c r="K15">
        <f>237.03+276.3+358.6</f>
        <v>871.93000000000006</v>
      </c>
      <c r="L15" s="32">
        <f t="shared" si="8"/>
        <v>636.27949999999998</v>
      </c>
      <c r="M15" s="42">
        <f t="shared" si="6"/>
        <v>957.70730000000015</v>
      </c>
      <c r="N15" s="33">
        <f t="shared" si="7"/>
        <v>321.42780000000016</v>
      </c>
      <c r="P15" s="35" t="s">
        <v>41</v>
      </c>
      <c r="Q15" s="36">
        <f>Q14</f>
        <v>687.5333333333333</v>
      </c>
      <c r="R15" s="36">
        <f>R14</f>
        <v>167.83333333333334</v>
      </c>
      <c r="S15" s="37">
        <f t="shared" si="0"/>
        <v>1.1668541792922418</v>
      </c>
      <c r="T15" s="1">
        <v>10</v>
      </c>
      <c r="U15" s="38">
        <v>11</v>
      </c>
      <c r="V15" s="20"/>
      <c r="W15" s="37">
        <v>1.865671641791045E-2</v>
      </c>
      <c r="X15" s="20"/>
      <c r="Y15" s="37"/>
    </row>
    <row r="16" spans="1:31" x14ac:dyDescent="0.25">
      <c r="A16">
        <v>15029</v>
      </c>
      <c r="B16">
        <v>27721</v>
      </c>
      <c r="C16">
        <v>30362</v>
      </c>
      <c r="D16" t="s">
        <v>59</v>
      </c>
      <c r="E16">
        <v>91</v>
      </c>
      <c r="F16">
        <f t="shared" si="2"/>
        <v>830</v>
      </c>
      <c r="G16">
        <f t="shared" si="3"/>
        <v>1214.1999999999998</v>
      </c>
      <c r="I16">
        <f t="shared" si="4"/>
        <v>562</v>
      </c>
      <c r="J16">
        <f t="shared" si="5"/>
        <v>1048</v>
      </c>
      <c r="K16">
        <f>670.6+423.4+338.2</f>
        <v>1432.2</v>
      </c>
      <c r="L16" s="32">
        <f t="shared" si="8"/>
        <v>305.45449999999994</v>
      </c>
      <c r="M16" s="42">
        <f t="shared" si="6"/>
        <v>500.17040000000003</v>
      </c>
      <c r="N16" s="33">
        <f t="shared" si="7"/>
        <v>194.71590000000009</v>
      </c>
      <c r="P16" s="1" t="s">
        <v>42</v>
      </c>
      <c r="Q16" s="5">
        <f>Q5</f>
        <v>464.06666666666666</v>
      </c>
      <c r="R16" s="5">
        <f>R5</f>
        <v>211.66666666666666</v>
      </c>
      <c r="S16" s="37">
        <f t="shared" si="0"/>
        <v>0.78759545641940232</v>
      </c>
      <c r="T16" s="1">
        <v>11</v>
      </c>
      <c r="U16" s="38">
        <v>12</v>
      </c>
      <c r="V16" s="20"/>
      <c r="W16" s="37">
        <v>3.7313432835820899E-2</v>
      </c>
      <c r="X16" s="20"/>
      <c r="Y16" s="37"/>
    </row>
    <row r="17" spans="1:33" x14ac:dyDescent="0.25">
      <c r="A17">
        <v>14467</v>
      </c>
      <c r="B17">
        <v>26891</v>
      </c>
      <c r="C17">
        <v>29314</v>
      </c>
      <c r="D17" t="s">
        <v>60</v>
      </c>
      <c r="E17">
        <v>93</v>
      </c>
      <c r="F17">
        <f t="shared" si="2"/>
        <v>702</v>
      </c>
      <c r="G17">
        <f t="shared" si="3"/>
        <v>1019</v>
      </c>
      <c r="I17">
        <f t="shared" si="4"/>
        <v>616</v>
      </c>
      <c r="J17">
        <f t="shared" si="5"/>
        <v>2238</v>
      </c>
      <c r="K17">
        <f>1029.1+829.2+696.7</f>
        <v>2555</v>
      </c>
      <c r="L17" s="32">
        <f t="shared" si="8"/>
        <v>107.88449999999995</v>
      </c>
      <c r="M17" s="42">
        <f t="shared" si="6"/>
        <v>288.9622</v>
      </c>
      <c r="N17" s="33">
        <f t="shared" si="7"/>
        <v>181.07770000000005</v>
      </c>
      <c r="T17" s="1">
        <v>12</v>
      </c>
      <c r="U17" s="38">
        <v>13</v>
      </c>
      <c r="V17" s="20"/>
      <c r="W17" s="37">
        <v>7.4626865671641798E-2</v>
      </c>
      <c r="X17" s="20"/>
      <c r="Y17" s="37"/>
    </row>
    <row r="18" spans="1:33" x14ac:dyDescent="0.25">
      <c r="A18">
        <v>13851</v>
      </c>
      <c r="B18">
        <v>26189</v>
      </c>
      <c r="C18">
        <v>27076</v>
      </c>
      <c r="D18" t="s">
        <v>61</v>
      </c>
      <c r="E18">
        <v>90</v>
      </c>
      <c r="F18">
        <f t="shared" si="2"/>
        <v>985</v>
      </c>
      <c r="G18">
        <f t="shared" si="3"/>
        <v>2746</v>
      </c>
      <c r="I18">
        <f t="shared" si="4"/>
        <v>599</v>
      </c>
      <c r="J18">
        <f t="shared" si="5"/>
        <v>282</v>
      </c>
      <c r="K18">
        <f>533.8+709.6+799.6</f>
        <v>2043</v>
      </c>
      <c r="L18" s="32">
        <f t="shared" si="8"/>
        <v>468.87549999999993</v>
      </c>
      <c r="M18" s="42">
        <f t="shared" si="6"/>
        <v>690.55150000000003</v>
      </c>
      <c r="N18" s="33">
        <f t="shared" si="7"/>
        <v>221.6760000000001</v>
      </c>
      <c r="Q18" s="5">
        <f>SUM(Q5:Q16)</f>
        <v>7070.6349999999993</v>
      </c>
      <c r="R18" s="5">
        <f>SUM(R5:R16)</f>
        <v>2525.5</v>
      </c>
      <c r="T18" s="1">
        <v>13</v>
      </c>
      <c r="U18" s="38">
        <v>14</v>
      </c>
      <c r="V18" s="20"/>
      <c r="W18" s="37">
        <v>3.7313432835820899E-2</v>
      </c>
      <c r="X18" s="20"/>
      <c r="Y18" s="37"/>
    </row>
    <row r="19" spans="1:33" x14ac:dyDescent="0.25">
      <c r="A19">
        <v>13252</v>
      </c>
      <c r="B19">
        <f>B26+1881</f>
        <v>25204</v>
      </c>
      <c r="C19">
        <v>26794</v>
      </c>
      <c r="D19" t="s">
        <v>62</v>
      </c>
      <c r="E19">
        <v>92</v>
      </c>
      <c r="F19">
        <f>B19-B26</f>
        <v>1881</v>
      </c>
      <c r="G19">
        <f t="shared" si="3"/>
        <v>2353.94</v>
      </c>
      <c r="I19">
        <f>A19-A26</f>
        <v>704</v>
      </c>
      <c r="J19">
        <f>C19-C26</f>
        <v>468</v>
      </c>
      <c r="K19">
        <f>244.74+262.4+433.8</f>
        <v>940.94</v>
      </c>
      <c r="L19" s="32">
        <f t="shared" si="8"/>
        <v>756.38199999999995</v>
      </c>
      <c r="M19" s="42">
        <f t="shared" si="6"/>
        <v>1124.1438000000001</v>
      </c>
      <c r="N19" s="33">
        <f t="shared" si="7"/>
        <v>367.76180000000011</v>
      </c>
      <c r="T19" s="1">
        <v>14</v>
      </c>
      <c r="U19" s="38">
        <v>15</v>
      </c>
      <c r="V19" s="20"/>
      <c r="W19" s="37">
        <v>3.7313432835820899E-2</v>
      </c>
      <c r="X19" s="20"/>
      <c r="Y19" s="37"/>
    </row>
    <row r="20" spans="1:33" x14ac:dyDescent="0.25">
      <c r="L20" s="32"/>
      <c r="M20" s="42"/>
      <c r="N20" s="33"/>
      <c r="P20" t="s">
        <v>82</v>
      </c>
      <c r="Q20" s="5">
        <f>Q18/12</f>
        <v>589.21958333333328</v>
      </c>
      <c r="R20" s="5">
        <f>R18/12</f>
        <v>210.45833333333334</v>
      </c>
      <c r="T20" s="1">
        <v>15</v>
      </c>
      <c r="U20" s="38">
        <v>16</v>
      </c>
      <c r="V20" s="20"/>
      <c r="W20" s="37">
        <v>4.4776119402985079E-2</v>
      </c>
      <c r="X20" s="20"/>
      <c r="Y20" s="37"/>
    </row>
    <row r="21" spans="1:33" ht="15.75" thickBot="1" x14ac:dyDescent="0.3">
      <c r="E21" s="27">
        <f>SUM(E12:E19)/2</f>
        <v>366</v>
      </c>
      <c r="F21" s="27">
        <f>SUM(F12:F19)/2</f>
        <v>4294</v>
      </c>
      <c r="G21" s="27">
        <f>SUM(G12:G19)/2</f>
        <v>7070.6350000000011</v>
      </c>
      <c r="I21" s="27">
        <f>SUM(I12:I19)/2</f>
        <v>2525.5</v>
      </c>
      <c r="J21" s="27">
        <f>SUM(J12:J19)/2</f>
        <v>4182</v>
      </c>
      <c r="K21" s="41">
        <f>SUM(K12:K19)/2</f>
        <v>6958.6350000000002</v>
      </c>
      <c r="L21" s="43">
        <f t="shared" ref="L21:N21" si="9">SUM(L12:L19)/2</f>
        <v>1591.5872499999998</v>
      </c>
      <c r="M21" s="44">
        <f t="shared" si="9"/>
        <v>2545.5646499999998</v>
      </c>
      <c r="N21" s="45">
        <f t="shared" si="9"/>
        <v>953.97740000000022</v>
      </c>
      <c r="P21" t="s">
        <v>81</v>
      </c>
      <c r="Q21" s="37">
        <f>Q18/365</f>
        <v>19.371602739726026</v>
      </c>
      <c r="R21" s="37">
        <f>R18/365</f>
        <v>6.919178082191781</v>
      </c>
      <c r="S21" s="1" t="s">
        <v>80</v>
      </c>
      <c r="T21" s="1">
        <v>16</v>
      </c>
      <c r="U21" s="38">
        <v>17</v>
      </c>
      <c r="V21" s="20"/>
      <c r="W21" s="37">
        <v>4.4776119402985079E-2</v>
      </c>
      <c r="X21" s="20"/>
      <c r="Y21" s="37"/>
    </row>
    <row r="22" spans="1:33" ht="15.75" thickTop="1" x14ac:dyDescent="0.25">
      <c r="E22" s="28"/>
      <c r="F22" s="28"/>
      <c r="I22" s="28"/>
      <c r="J22" s="28"/>
      <c r="K22" s="28"/>
      <c r="L22" s="8"/>
      <c r="M22" s="46"/>
      <c r="N22" s="9"/>
      <c r="P22" t="s">
        <v>81</v>
      </c>
      <c r="Q22" s="51">
        <f>Q21+R21</f>
        <v>26.290780821917807</v>
      </c>
      <c r="R22" s="52"/>
      <c r="T22" s="1">
        <v>17</v>
      </c>
      <c r="U22" s="38">
        <v>18</v>
      </c>
      <c r="V22" s="20"/>
      <c r="W22" s="37">
        <v>4.4776119402985079E-2</v>
      </c>
      <c r="X22" s="20"/>
      <c r="Y22" s="37"/>
    </row>
    <row r="23" spans="1:33" x14ac:dyDescent="0.25">
      <c r="D23" t="s">
        <v>72</v>
      </c>
      <c r="E23" s="28"/>
      <c r="F23" s="34">
        <f>(F21+I21)/365</f>
        <v>18.683561643835617</v>
      </c>
      <c r="G23" s="34">
        <f>(G21+I21)/365</f>
        <v>26.290780821917814</v>
      </c>
      <c r="H23" t="s">
        <v>73</v>
      </c>
      <c r="I23" s="34">
        <f>I21/365</f>
        <v>6.919178082191781</v>
      </c>
      <c r="J23" s="28"/>
      <c r="K23" s="49">
        <f>(K21-J21)/(2*365)</f>
        <v>3.8036095890410961</v>
      </c>
      <c r="L23" s="8"/>
      <c r="M23" s="46"/>
      <c r="N23" s="9"/>
      <c r="T23" s="1">
        <v>18</v>
      </c>
      <c r="U23" s="38">
        <v>19</v>
      </c>
      <c r="V23" s="20"/>
      <c r="W23" s="37">
        <v>0.1119402985074627</v>
      </c>
      <c r="X23" s="20"/>
      <c r="Y23" s="37"/>
    </row>
    <row r="24" spans="1:33" x14ac:dyDescent="0.25">
      <c r="E24" s="28"/>
      <c r="F24" s="28"/>
      <c r="G24">
        <f>G21/365</f>
        <v>19.371602739726029</v>
      </c>
      <c r="I24" s="28"/>
      <c r="J24" s="28"/>
      <c r="K24" s="49">
        <f>(K15+K19-J15-J19)/(2*92)</f>
        <v>4.0862500000000006</v>
      </c>
      <c r="L24" s="8"/>
      <c r="M24" s="46"/>
      <c r="N24" s="9"/>
      <c r="T24" s="1">
        <v>19</v>
      </c>
      <c r="U24" s="38">
        <v>20</v>
      </c>
      <c r="V24" s="20"/>
      <c r="W24" s="37">
        <v>0.1119402985074627</v>
      </c>
      <c r="X24" s="20"/>
      <c r="Y24" s="37"/>
    </row>
    <row r="25" spans="1:33" x14ac:dyDescent="0.25">
      <c r="L25" s="8"/>
      <c r="M25" s="46"/>
      <c r="N25" s="9"/>
      <c r="T25" s="1">
        <v>20</v>
      </c>
      <c r="U25" s="38">
        <v>21</v>
      </c>
      <c r="V25" s="20"/>
      <c r="W25" s="37">
        <v>0.1119402985074627</v>
      </c>
      <c r="X25" s="20"/>
      <c r="Y25" s="37"/>
    </row>
    <row r="26" spans="1:33" x14ac:dyDescent="0.25">
      <c r="A26">
        <v>12548</v>
      </c>
      <c r="B26">
        <v>23323</v>
      </c>
      <c r="C26">
        <v>26326</v>
      </c>
      <c r="D26" t="s">
        <v>58</v>
      </c>
      <c r="E26">
        <v>91</v>
      </c>
      <c r="L26" s="8"/>
      <c r="M26" s="46"/>
      <c r="N26" s="9"/>
      <c r="T26" s="1">
        <v>21</v>
      </c>
      <c r="U26" s="38">
        <v>22</v>
      </c>
      <c r="V26" s="20"/>
      <c r="W26" s="37">
        <v>0.1119402985074627</v>
      </c>
      <c r="X26" s="20"/>
      <c r="Y26" s="37"/>
    </row>
    <row r="27" spans="1:33" x14ac:dyDescent="0.25">
      <c r="A27">
        <v>12194</v>
      </c>
      <c r="B27">
        <v>22775</v>
      </c>
      <c r="C27">
        <v>25504</v>
      </c>
      <c r="D27" t="s">
        <v>57</v>
      </c>
      <c r="E27">
        <v>93</v>
      </c>
      <c r="L27" s="8"/>
      <c r="M27" s="46"/>
      <c r="N27" s="9"/>
      <c r="T27" s="1">
        <v>22</v>
      </c>
      <c r="U27" s="38">
        <v>23</v>
      </c>
      <c r="V27" s="20"/>
      <c r="W27" s="37">
        <v>0.1119402985074627</v>
      </c>
      <c r="X27" s="20"/>
      <c r="Y27" s="37"/>
    </row>
    <row r="28" spans="1:33" x14ac:dyDescent="0.25">
      <c r="A28">
        <v>11709</v>
      </c>
      <c r="B28">
        <v>22195</v>
      </c>
      <c r="C28">
        <v>23867</v>
      </c>
      <c r="D28" t="s">
        <v>56</v>
      </c>
      <c r="E28">
        <v>90</v>
      </c>
      <c r="L28" s="8"/>
      <c r="M28" s="46"/>
      <c r="N28" s="9"/>
      <c r="P28" t="s">
        <v>85</v>
      </c>
      <c r="T28" s="1">
        <v>23</v>
      </c>
      <c r="U28" s="38">
        <v>24</v>
      </c>
      <c r="V28" s="20"/>
      <c r="W28" s="37">
        <v>7.4626865671641807E-3</v>
      </c>
      <c r="X28" s="20"/>
      <c r="Y28" s="37">
        <f>$R$18/72</f>
        <v>35.076388888888886</v>
      </c>
    </row>
    <row r="29" spans="1:33" x14ac:dyDescent="0.25">
      <c r="D29" t="s">
        <v>55</v>
      </c>
      <c r="E29">
        <v>92</v>
      </c>
      <c r="L29" s="8"/>
      <c r="M29" s="46"/>
      <c r="N29" s="9"/>
      <c r="Q29" s="1">
        <v>0.5</v>
      </c>
      <c r="V29" s="2"/>
    </row>
    <row r="30" spans="1:33" x14ac:dyDescent="0.25">
      <c r="A30">
        <v>10533</v>
      </c>
      <c r="B30">
        <v>19706</v>
      </c>
      <c r="C30">
        <v>22086</v>
      </c>
      <c r="D30" t="s">
        <v>2</v>
      </c>
      <c r="E30">
        <v>91</v>
      </c>
      <c r="F30">
        <v>994</v>
      </c>
      <c r="G30">
        <v>994</v>
      </c>
      <c r="H30">
        <v>0</v>
      </c>
      <c r="I30">
        <v>540</v>
      </c>
      <c r="J30">
        <v>876</v>
      </c>
      <c r="L30" s="8">
        <f t="shared" ref="L30:L38" si="10">(F30*$L$3+I30*$L$5-J30*$L$7)/100</f>
        <v>294.92199999999997</v>
      </c>
      <c r="M30" s="46">
        <f t="shared" ref="M30:M38" si="11">(F30*$M$3+I30*$M$5-J30*$M$7+E30*$M$6)/100</f>
        <v>596.87739999999997</v>
      </c>
      <c r="N30" s="11"/>
      <c r="P30" s="3" t="s">
        <v>86</v>
      </c>
      <c r="Q30" s="40">
        <f>(G21+I21*Q29)/365</f>
        <v>22.831191780821925</v>
      </c>
      <c r="R30" t="s">
        <v>73</v>
      </c>
      <c r="S30" s="4"/>
      <c r="T30" s="3"/>
      <c r="U30" s="4"/>
      <c r="W30" s="4"/>
      <c r="Y30" s="4"/>
      <c r="AA30" s="4"/>
      <c r="AC30" s="4"/>
      <c r="AE30" s="4"/>
      <c r="AG30" s="4"/>
    </row>
    <row r="31" spans="1:33" x14ac:dyDescent="0.25">
      <c r="D31" t="s">
        <v>5</v>
      </c>
      <c r="E31">
        <v>93</v>
      </c>
      <c r="F31">
        <v>737</v>
      </c>
      <c r="G31">
        <v>737</v>
      </c>
      <c r="H31">
        <v>0</v>
      </c>
      <c r="I31">
        <v>445</v>
      </c>
      <c r="J31">
        <v>1639</v>
      </c>
      <c r="L31" s="8">
        <f t="shared" si="10"/>
        <v>87.703499999999991</v>
      </c>
      <c r="M31" s="46">
        <f t="shared" si="11"/>
        <v>343.50269999999995</v>
      </c>
      <c r="N31" s="11"/>
      <c r="Q31" s="4"/>
      <c r="S31" s="4"/>
      <c r="T31" s="3"/>
      <c r="U31" s="4"/>
      <c r="W31" s="40"/>
      <c r="Y31" s="39">
        <f>SUM(Y5:Y28)</f>
        <v>210.45833333333331</v>
      </c>
      <c r="AA31" s="4"/>
      <c r="AC31" s="4"/>
      <c r="AE31" s="4"/>
      <c r="AG31" s="4"/>
    </row>
    <row r="32" spans="1:33" x14ac:dyDescent="0.25">
      <c r="D32" t="s">
        <v>6</v>
      </c>
      <c r="E32">
        <v>90</v>
      </c>
      <c r="F32">
        <v>776</v>
      </c>
      <c r="G32">
        <v>776</v>
      </c>
      <c r="H32">
        <v>0</v>
      </c>
      <c r="I32">
        <v>550</v>
      </c>
      <c r="J32">
        <v>1539</v>
      </c>
      <c r="L32" s="8">
        <f t="shared" si="10"/>
        <v>132.29300000000003</v>
      </c>
      <c r="M32" s="46">
        <f t="shared" si="11"/>
        <v>401.255</v>
      </c>
      <c r="N32" s="11"/>
      <c r="P32" t="s">
        <v>87</v>
      </c>
      <c r="Q32" s="40">
        <f>I21/365</f>
        <v>6.919178082191781</v>
      </c>
      <c r="S32" s="4"/>
      <c r="T32" s="3"/>
      <c r="U32" s="4"/>
      <c r="W32" s="4"/>
      <c r="Y32" s="4"/>
      <c r="AA32" s="4"/>
      <c r="AC32" s="4"/>
      <c r="AE32" s="4"/>
      <c r="AG32" s="4"/>
    </row>
    <row r="33" spans="4:33" x14ac:dyDescent="0.25">
      <c r="D33" t="s">
        <v>11</v>
      </c>
      <c r="E33">
        <v>92</v>
      </c>
      <c r="F33">
        <v>1629</v>
      </c>
      <c r="G33">
        <v>1008</v>
      </c>
      <c r="H33">
        <v>621</v>
      </c>
      <c r="I33">
        <v>594</v>
      </c>
      <c r="J33">
        <v>545</v>
      </c>
      <c r="L33" s="8">
        <f t="shared" si="10"/>
        <v>558.69500000000005</v>
      </c>
      <c r="M33" s="46">
        <f t="shared" si="11"/>
        <v>963.0107999999999</v>
      </c>
      <c r="N33" s="11"/>
      <c r="Q33" s="4"/>
      <c r="S33" s="4"/>
      <c r="T33" s="3"/>
      <c r="U33" s="4"/>
      <c r="W33" s="4"/>
      <c r="Y33" s="4"/>
      <c r="AA33" s="4"/>
      <c r="AC33" s="4"/>
      <c r="AE33" s="4"/>
      <c r="AG33" s="4"/>
    </row>
    <row r="34" spans="4:33" x14ac:dyDescent="0.25">
      <c r="D34" t="s">
        <v>12</v>
      </c>
      <c r="E34">
        <v>92</v>
      </c>
      <c r="F34">
        <v>741</v>
      </c>
      <c r="G34">
        <v>741</v>
      </c>
      <c r="H34">
        <v>0</v>
      </c>
      <c r="I34">
        <v>495</v>
      </c>
      <c r="J34">
        <v>1055</v>
      </c>
      <c r="L34" s="8">
        <f t="shared" si="10"/>
        <v>179.25049999999999</v>
      </c>
      <c r="M34" s="46">
        <f t="shared" si="11"/>
        <v>439.57830000000001</v>
      </c>
      <c r="N34" s="11"/>
      <c r="P34" t="s">
        <v>88</v>
      </c>
      <c r="Q34" s="40">
        <f>Q30*S11</f>
        <v>26.993732129831098</v>
      </c>
      <c r="S34" s="4"/>
      <c r="U34" s="4"/>
      <c r="W34" s="4"/>
      <c r="Y34" s="4"/>
      <c r="AA34" s="4"/>
      <c r="AC34" s="4"/>
      <c r="AE34" s="4"/>
      <c r="AG34" s="4"/>
    </row>
    <row r="35" spans="4:33" x14ac:dyDescent="0.25">
      <c r="D35" t="s">
        <v>13</v>
      </c>
      <c r="E35">
        <v>95</v>
      </c>
      <c r="F35">
        <v>840</v>
      </c>
      <c r="G35">
        <v>840</v>
      </c>
      <c r="H35">
        <v>0</v>
      </c>
      <c r="I35">
        <v>434</v>
      </c>
      <c r="J35">
        <v>1701</v>
      </c>
      <c r="L35" s="8">
        <f t="shared" si="10"/>
        <v>110.94299999999996</v>
      </c>
      <c r="M35" s="46">
        <f t="shared" si="11"/>
        <v>383.34600000000006</v>
      </c>
      <c r="N35" s="11"/>
      <c r="P35" t="s">
        <v>89</v>
      </c>
      <c r="Q35" s="4"/>
      <c r="S35" s="4"/>
      <c r="U35" s="4"/>
      <c r="W35" s="4"/>
      <c r="Y35" s="4"/>
      <c r="AA35" s="4"/>
      <c r="AC35" s="4"/>
      <c r="AE35" s="4"/>
      <c r="AG35" s="4"/>
    </row>
    <row r="36" spans="4:33" x14ac:dyDescent="0.25">
      <c r="D36" t="s">
        <v>14</v>
      </c>
      <c r="E36">
        <v>86</v>
      </c>
      <c r="F36">
        <v>646</v>
      </c>
      <c r="G36">
        <v>646</v>
      </c>
      <c r="H36">
        <v>0</v>
      </c>
      <c r="I36">
        <v>536</v>
      </c>
      <c r="J36">
        <v>1471</v>
      </c>
      <c r="L36" s="8">
        <f t="shared" si="10"/>
        <v>96.8</v>
      </c>
      <c r="M36" s="46">
        <f t="shared" si="11"/>
        <v>340.43040000000002</v>
      </c>
      <c r="N36" s="11"/>
      <c r="Q36" s="4"/>
      <c r="S36" s="4"/>
      <c r="U36" s="4"/>
      <c r="W36" s="4"/>
      <c r="Y36" s="4"/>
      <c r="AA36" s="4"/>
      <c r="AC36" s="4"/>
      <c r="AE36" s="4"/>
      <c r="AG36" s="4"/>
    </row>
    <row r="37" spans="4:33" x14ac:dyDescent="0.25">
      <c r="D37" t="s">
        <v>15</v>
      </c>
      <c r="E37">
        <v>91</v>
      </c>
      <c r="F37">
        <v>2065</v>
      </c>
      <c r="G37">
        <v>997</v>
      </c>
      <c r="H37">
        <v>1068</v>
      </c>
      <c r="I37">
        <v>644</v>
      </c>
      <c r="J37">
        <v>502</v>
      </c>
      <c r="L37" s="8">
        <f t="shared" si="10"/>
        <v>716.19799999999998</v>
      </c>
      <c r="M37" s="46">
        <f t="shared" si="11"/>
        <v>1190.2744</v>
      </c>
      <c r="N37" s="11"/>
      <c r="Q37" s="4"/>
      <c r="S37" s="4"/>
      <c r="U37" s="4"/>
      <c r="W37" s="4"/>
      <c r="Y37" s="4"/>
      <c r="AA37" s="4"/>
      <c r="AC37" s="4"/>
      <c r="AE37" s="4"/>
      <c r="AG37" s="4"/>
    </row>
    <row r="38" spans="4:33" x14ac:dyDescent="0.25">
      <c r="D38" t="s">
        <v>16</v>
      </c>
      <c r="E38">
        <v>91</v>
      </c>
      <c r="F38">
        <v>1071</v>
      </c>
      <c r="G38">
        <v>997</v>
      </c>
      <c r="H38">
        <v>74</v>
      </c>
      <c r="I38">
        <v>574</v>
      </c>
      <c r="J38">
        <v>955</v>
      </c>
      <c r="L38" s="8">
        <f t="shared" si="10"/>
        <v>314.88099999999991</v>
      </c>
      <c r="M38" s="46">
        <f t="shared" si="11"/>
        <v>631.86339999999996</v>
      </c>
      <c r="N38" s="11"/>
      <c r="Q38" s="4"/>
      <c r="S38" s="4"/>
      <c r="U38" s="4"/>
      <c r="W38" s="4"/>
      <c r="Y38" s="4"/>
      <c r="AA38" s="4"/>
      <c r="AC38" s="4"/>
      <c r="AE38" s="4"/>
      <c r="AG38" s="4"/>
    </row>
    <row r="39" spans="4:33" x14ac:dyDescent="0.25">
      <c r="D39" t="s">
        <v>17</v>
      </c>
      <c r="L39" s="12"/>
      <c r="M39" s="47"/>
      <c r="N39" s="13"/>
    </row>
    <row r="40" spans="4:33" x14ac:dyDescent="0.25">
      <c r="D40" t="s">
        <v>18</v>
      </c>
      <c r="F40">
        <f t="shared" ref="F40:J40" si="12">SUM(F30:F37)/2</f>
        <v>4214</v>
      </c>
      <c r="G40">
        <f t="shared" si="12"/>
        <v>3369.5</v>
      </c>
      <c r="H40">
        <f t="shared" si="12"/>
        <v>844.5</v>
      </c>
      <c r="I40">
        <f t="shared" si="12"/>
        <v>2119</v>
      </c>
      <c r="J40">
        <f t="shared" si="12"/>
        <v>4664</v>
      </c>
      <c r="L40" s="10">
        <f>SUM(L30:L39)</f>
        <v>2491.6859999999997</v>
      </c>
      <c r="M40" s="48">
        <f>SUM(M30:M39)</f>
        <v>5290.1384000000007</v>
      </c>
      <c r="N40" s="11"/>
      <c r="Q40" s="18"/>
      <c r="S40" s="18"/>
      <c r="U40" s="18"/>
      <c r="W40" s="18"/>
      <c r="Y40" s="18"/>
      <c r="AA40" s="18"/>
      <c r="AC40" s="18"/>
      <c r="AE40" s="18"/>
      <c r="AG40" s="18"/>
    </row>
    <row r="41" spans="4:33" ht="15.75" thickBot="1" x14ac:dyDescent="0.3">
      <c r="D41" t="s">
        <v>19</v>
      </c>
      <c r="G41" s="20">
        <f>1-H41</f>
        <v>0.79959658281917423</v>
      </c>
      <c r="H41" s="20">
        <f>H40/F40</f>
        <v>0.20040341718082583</v>
      </c>
      <c r="L41" s="15"/>
      <c r="M41" s="16"/>
      <c r="N41" s="17"/>
      <c r="Q41" s="3"/>
      <c r="S41" s="3"/>
      <c r="U41" s="3"/>
      <c r="W41" s="3"/>
      <c r="Y41" s="3"/>
      <c r="AA41" s="3"/>
      <c r="AC41" s="3"/>
      <c r="AE41" s="3"/>
      <c r="AG41" s="3"/>
    </row>
    <row r="42" spans="4:33" x14ac:dyDescent="0.25">
      <c r="S42" s="4"/>
    </row>
    <row r="43" spans="4:33" x14ac:dyDescent="0.25">
      <c r="J43">
        <f>J40/365</f>
        <v>12.778082191780822</v>
      </c>
    </row>
    <row r="48" spans="4:33" x14ac:dyDescent="0.25">
      <c r="Q48" s="4"/>
      <c r="S48" s="4"/>
      <c r="U48" s="4"/>
      <c r="W48" s="4"/>
      <c r="Y48" s="4"/>
      <c r="AA48" s="4"/>
      <c r="AC48" s="4"/>
      <c r="AE48" s="4"/>
      <c r="AG48" s="4"/>
    </row>
    <row r="49" spans="17:33" x14ac:dyDescent="0.25">
      <c r="AA49" s="1"/>
      <c r="AC49" s="1"/>
      <c r="AE49" s="1"/>
      <c r="AG49" s="1"/>
    </row>
    <row r="50" spans="17:33" x14ac:dyDescent="0.25">
      <c r="Q50" s="19"/>
      <c r="S50" s="19"/>
      <c r="U50" s="19"/>
      <c r="W50" s="19"/>
      <c r="Y50" s="19"/>
      <c r="AA50" s="19"/>
      <c r="AC50" s="19"/>
      <c r="AE50" s="19"/>
      <c r="AG50" s="19"/>
    </row>
    <row r="51" spans="17:33" x14ac:dyDescent="0.25">
      <c r="Q51" s="19"/>
      <c r="S51" s="19"/>
      <c r="U51" s="19"/>
      <c r="W51" s="19"/>
      <c r="Y51" s="19"/>
      <c r="AA51" s="19"/>
      <c r="AC51" s="19"/>
      <c r="AE51" s="19"/>
      <c r="AG51" s="19"/>
    </row>
    <row r="52" spans="17:33" x14ac:dyDescent="0.25">
      <c r="Q52" s="19"/>
      <c r="S52" s="19"/>
      <c r="U52" s="19"/>
      <c r="W52" s="19"/>
      <c r="Y52" s="19"/>
      <c r="AA52" s="19"/>
      <c r="AC52" s="19"/>
      <c r="AE52" s="19"/>
      <c r="AG52" s="19"/>
    </row>
    <row r="53" spans="17:33" x14ac:dyDescent="0.25">
      <c r="Q53" s="19"/>
      <c r="S53" s="19"/>
      <c r="U53" s="19"/>
      <c r="W53" s="19"/>
      <c r="Y53" s="19"/>
      <c r="AA53" s="19"/>
      <c r="AC53" s="19"/>
      <c r="AE53" s="19"/>
      <c r="AG53" s="19"/>
    </row>
  </sheetData>
  <mergeCells count="1">
    <mergeCell ref="Q22:R22"/>
  </mergeCells>
  <phoneticPr fontId="6" type="noConversion"/>
  <pageMargins left="0.7" right="0.7" top="0.75" bottom="0.75" header="0.3" footer="0.3"/>
  <pageSetup paperSize="9" orientation="portrait" horizontalDpi="4294967293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0A13C-83DB-4278-90EF-300CA3F6BF40}">
  <dimension ref="A3:U61"/>
  <sheetViews>
    <sheetView tabSelected="1" topLeftCell="A19" workbookViewId="0">
      <selection activeCell="G48" sqref="G48"/>
    </sheetView>
  </sheetViews>
  <sheetFormatPr defaultRowHeight="15" x14ac:dyDescent="0.25"/>
  <cols>
    <col min="1" max="1" width="12.28515625" customWidth="1"/>
    <col min="2" max="4" width="9.140625" style="50"/>
    <col min="5" max="5" width="10.28515625" style="50" customWidth="1"/>
    <col min="6" max="6" width="18.85546875" customWidth="1"/>
    <col min="18" max="18" width="9.140625" customWidth="1"/>
    <col min="21" max="21" width="9.7109375" customWidth="1"/>
  </cols>
  <sheetData>
    <row r="3" spans="1:21" x14ac:dyDescent="0.25">
      <c r="L3" t="s">
        <v>69</v>
      </c>
      <c r="P3" t="s">
        <v>104</v>
      </c>
    </row>
    <row r="4" spans="1:21" x14ac:dyDescent="0.25">
      <c r="L4" t="s">
        <v>10</v>
      </c>
    </row>
    <row r="5" spans="1:21" x14ac:dyDescent="0.25">
      <c r="L5" t="s">
        <v>70</v>
      </c>
      <c r="O5" s="53">
        <v>30</v>
      </c>
      <c r="P5" s="53">
        <v>11</v>
      </c>
      <c r="Q5" s="53">
        <v>2015</v>
      </c>
      <c r="R5">
        <v>28.782</v>
      </c>
      <c r="S5" s="53">
        <v>1</v>
      </c>
      <c r="T5" s="21">
        <v>1980.1770000000001</v>
      </c>
      <c r="U5" t="s">
        <v>97</v>
      </c>
    </row>
    <row r="6" spans="1:21" x14ac:dyDescent="0.25">
      <c r="O6" s="53">
        <v>29</v>
      </c>
      <c r="P6" s="53">
        <v>2</v>
      </c>
      <c r="Q6" s="53">
        <v>2016</v>
      </c>
      <c r="R6">
        <v>28.55</v>
      </c>
      <c r="S6" s="53">
        <v>1</v>
      </c>
      <c r="T6" s="21">
        <v>2731.0630000000006</v>
      </c>
      <c r="U6" t="s">
        <v>98</v>
      </c>
    </row>
    <row r="7" spans="1:21" x14ac:dyDescent="0.25">
      <c r="L7" t="s">
        <v>83</v>
      </c>
      <c r="O7" s="53">
        <v>31</v>
      </c>
      <c r="P7" s="53">
        <v>5</v>
      </c>
      <c r="Q7" s="53">
        <v>2016</v>
      </c>
      <c r="R7">
        <v>9.4749999999999996</v>
      </c>
      <c r="S7" s="53">
        <v>1</v>
      </c>
      <c r="T7" s="21">
        <v>1479.3920000000005</v>
      </c>
      <c r="U7" t="s">
        <v>99</v>
      </c>
    </row>
    <row r="8" spans="1:21" ht="14.25" customHeight="1" x14ac:dyDescent="0.25">
      <c r="A8" t="s">
        <v>102</v>
      </c>
      <c r="B8" s="50" t="s">
        <v>8</v>
      </c>
      <c r="C8" s="50" t="s">
        <v>7</v>
      </c>
      <c r="D8" s="50" t="s">
        <v>9</v>
      </c>
      <c r="E8" s="50" t="s">
        <v>9</v>
      </c>
      <c r="F8" t="s">
        <v>95</v>
      </c>
      <c r="G8" t="s">
        <v>3</v>
      </c>
      <c r="H8" s="50" t="s">
        <v>101</v>
      </c>
      <c r="I8" t="s">
        <v>0</v>
      </c>
      <c r="J8" t="s">
        <v>0</v>
      </c>
      <c r="K8" t="s">
        <v>1</v>
      </c>
      <c r="L8" t="s">
        <v>4</v>
      </c>
      <c r="O8" s="53">
        <v>31</v>
      </c>
      <c r="P8" s="53">
        <v>8</v>
      </c>
      <c r="Q8" s="53">
        <v>2016</v>
      </c>
      <c r="R8">
        <v>9.4039999999999999</v>
      </c>
      <c r="S8" s="53">
        <v>1</v>
      </c>
      <c r="T8" s="21">
        <v>990.19400000000007</v>
      </c>
      <c r="U8" t="s">
        <v>100</v>
      </c>
    </row>
    <row r="9" spans="1:21" x14ac:dyDescent="0.25">
      <c r="B9" s="50" t="s">
        <v>35</v>
      </c>
      <c r="C9" s="50" t="s">
        <v>94</v>
      </c>
      <c r="D9" s="50" t="s">
        <v>70</v>
      </c>
      <c r="E9" s="50" t="s">
        <v>96</v>
      </c>
      <c r="H9" s="50" t="s">
        <v>70</v>
      </c>
      <c r="I9" t="s">
        <v>24</v>
      </c>
      <c r="J9" t="s">
        <v>84</v>
      </c>
      <c r="K9" t="s">
        <v>24</v>
      </c>
      <c r="L9" t="s">
        <v>24</v>
      </c>
      <c r="O9" s="53">
        <v>30</v>
      </c>
      <c r="P9" s="53">
        <v>11</v>
      </c>
      <c r="Q9" s="53">
        <v>2016</v>
      </c>
      <c r="R9">
        <v>35.759</v>
      </c>
      <c r="S9" s="53">
        <v>1</v>
      </c>
      <c r="T9" s="21">
        <v>2127.1799999999989</v>
      </c>
      <c r="U9" t="s">
        <v>97</v>
      </c>
    </row>
    <row r="10" spans="1:21" x14ac:dyDescent="0.25">
      <c r="A10" s="50">
        <v>1</v>
      </c>
      <c r="B10" s="50">
        <v>19759</v>
      </c>
      <c r="C10" s="50">
        <v>35087</v>
      </c>
      <c r="D10" s="50">
        <v>38777</v>
      </c>
      <c r="E10" s="50">
        <v>1499</v>
      </c>
      <c r="F10" t="s">
        <v>93</v>
      </c>
      <c r="G10">
        <v>91</v>
      </c>
      <c r="H10">
        <f>D10-D11</f>
        <v>768</v>
      </c>
      <c r="I10">
        <f t="shared" ref="I10:I13" si="0">C10-C11</f>
        <v>1024</v>
      </c>
      <c r="J10">
        <f>I10+E10-H10</f>
        <v>1755</v>
      </c>
      <c r="K10">
        <f t="shared" ref="K10:K13" si="1">B10-B11</f>
        <v>591</v>
      </c>
      <c r="O10" s="53">
        <v>28</v>
      </c>
      <c r="P10" s="53">
        <v>2</v>
      </c>
      <c r="Q10" s="53">
        <v>2017</v>
      </c>
      <c r="R10">
        <v>24.687000000000001</v>
      </c>
      <c r="S10" s="53">
        <v>1</v>
      </c>
      <c r="T10" s="21">
        <v>2568.7469999999985</v>
      </c>
      <c r="U10" t="s">
        <v>98</v>
      </c>
    </row>
    <row r="11" spans="1:21" x14ac:dyDescent="0.25">
      <c r="A11" s="50">
        <v>2</v>
      </c>
      <c r="B11" s="50">
        <v>19168</v>
      </c>
      <c r="C11" s="50">
        <v>34063</v>
      </c>
      <c r="D11" s="50">
        <v>38009</v>
      </c>
      <c r="E11" s="50">
        <v>2536</v>
      </c>
      <c r="F11" t="s">
        <v>92</v>
      </c>
      <c r="G11">
        <v>93</v>
      </c>
      <c r="H11">
        <f t="shared" ref="H11:H25" si="2">D11-D12</f>
        <v>1395</v>
      </c>
      <c r="I11">
        <f t="shared" si="0"/>
        <v>545</v>
      </c>
      <c r="J11">
        <f t="shared" ref="J11:J34" si="3">I11+E11-H11</f>
        <v>1686</v>
      </c>
      <c r="K11">
        <f t="shared" si="1"/>
        <v>484</v>
      </c>
      <c r="O11" s="53">
        <v>31</v>
      </c>
      <c r="P11" s="53">
        <v>5</v>
      </c>
      <c r="Q11" s="53">
        <v>2017</v>
      </c>
      <c r="R11">
        <v>12.04</v>
      </c>
      <c r="S11" s="53">
        <v>1</v>
      </c>
      <c r="T11" s="21">
        <v>1473.5930000000003</v>
      </c>
      <c r="U11" t="s">
        <v>99</v>
      </c>
    </row>
    <row r="12" spans="1:21" x14ac:dyDescent="0.25">
      <c r="A12" s="50">
        <v>3</v>
      </c>
      <c r="B12" s="50">
        <v>18684</v>
      </c>
      <c r="C12" s="50">
        <v>33518</v>
      </c>
      <c r="D12" s="50">
        <v>36614</v>
      </c>
      <c r="E12" s="50">
        <v>2217</v>
      </c>
      <c r="F12" t="s">
        <v>91</v>
      </c>
      <c r="G12">
        <v>90</v>
      </c>
      <c r="H12">
        <f t="shared" si="2"/>
        <v>1534</v>
      </c>
      <c r="I12">
        <f t="shared" si="0"/>
        <v>552</v>
      </c>
      <c r="J12">
        <f t="shared" si="3"/>
        <v>1235</v>
      </c>
      <c r="K12">
        <f t="shared" si="1"/>
        <v>585</v>
      </c>
      <c r="O12" s="53">
        <v>31</v>
      </c>
      <c r="P12" s="53">
        <v>8</v>
      </c>
      <c r="Q12" s="53">
        <v>2017</v>
      </c>
      <c r="R12">
        <v>20.791</v>
      </c>
      <c r="S12" s="53">
        <v>1</v>
      </c>
      <c r="T12" s="21">
        <v>1001.1690000000001</v>
      </c>
      <c r="U12" t="s">
        <v>100</v>
      </c>
    </row>
    <row r="13" spans="1:21" x14ac:dyDescent="0.25">
      <c r="A13" s="50">
        <v>4</v>
      </c>
      <c r="B13" s="50">
        <v>18099</v>
      </c>
      <c r="C13" s="50">
        <v>32966</v>
      </c>
      <c r="D13" s="50">
        <v>35080</v>
      </c>
      <c r="E13" s="50">
        <v>917</v>
      </c>
      <c r="F13" t="s">
        <v>90</v>
      </c>
      <c r="G13">
        <v>92</v>
      </c>
      <c r="H13">
        <f t="shared" si="2"/>
        <v>488</v>
      </c>
      <c r="I13">
        <f t="shared" si="0"/>
        <v>1468</v>
      </c>
      <c r="J13">
        <f t="shared" si="3"/>
        <v>1897</v>
      </c>
      <c r="K13">
        <f t="shared" si="1"/>
        <v>662</v>
      </c>
      <c r="O13" s="53">
        <v>30</v>
      </c>
      <c r="P13" s="53">
        <v>11</v>
      </c>
      <c r="Q13" s="53">
        <v>2017</v>
      </c>
      <c r="R13">
        <v>27.646999999999998</v>
      </c>
      <c r="S13" s="53">
        <v>1</v>
      </c>
      <c r="T13" s="21">
        <v>2053.7800000000007</v>
      </c>
      <c r="U13" t="s">
        <v>97</v>
      </c>
    </row>
    <row r="14" spans="1:21" x14ac:dyDescent="0.25">
      <c r="A14" s="50">
        <v>5</v>
      </c>
      <c r="B14" s="50">
        <v>17437</v>
      </c>
      <c r="C14" s="50">
        <v>31498</v>
      </c>
      <c r="D14" s="50">
        <v>34592</v>
      </c>
      <c r="E14" s="50">
        <v>1327</v>
      </c>
      <c r="F14" t="s">
        <v>63</v>
      </c>
      <c r="G14">
        <v>91</v>
      </c>
      <c r="H14">
        <f t="shared" si="2"/>
        <v>922</v>
      </c>
      <c r="I14">
        <f>C14-C15</f>
        <v>899</v>
      </c>
      <c r="J14">
        <f t="shared" si="3"/>
        <v>1304</v>
      </c>
      <c r="K14">
        <f>B14-B15</f>
        <v>601</v>
      </c>
      <c r="L14">
        <f>D14-D15</f>
        <v>922</v>
      </c>
      <c r="O14" s="53">
        <v>28</v>
      </c>
      <c r="P14" s="53">
        <v>2</v>
      </c>
      <c r="Q14" s="53">
        <v>2018</v>
      </c>
      <c r="R14">
        <v>24.465</v>
      </c>
      <c r="S14" s="53">
        <v>1</v>
      </c>
      <c r="T14" s="21">
        <v>2518.8209999999995</v>
      </c>
      <c r="U14" t="s">
        <v>98</v>
      </c>
    </row>
    <row r="15" spans="1:21" x14ac:dyDescent="0.25">
      <c r="A15" s="50">
        <v>6</v>
      </c>
      <c r="B15" s="50">
        <v>16836</v>
      </c>
      <c r="C15" s="50">
        <v>30599</v>
      </c>
      <c r="D15" s="50">
        <v>33670</v>
      </c>
      <c r="E15" s="50">
        <v>2737</v>
      </c>
      <c r="F15" t="s">
        <v>64</v>
      </c>
      <c r="G15">
        <v>93</v>
      </c>
      <c r="H15">
        <f t="shared" si="2"/>
        <v>1736</v>
      </c>
      <c r="I15">
        <f t="shared" ref="I15:I20" si="4">C15-C16</f>
        <v>764</v>
      </c>
      <c r="J15">
        <f t="shared" si="3"/>
        <v>1765</v>
      </c>
      <c r="K15">
        <f>B15-B16</f>
        <v>654</v>
      </c>
      <c r="L15">
        <f>D15-D16</f>
        <v>1736</v>
      </c>
      <c r="O15" s="53">
        <v>31</v>
      </c>
      <c r="P15" s="53">
        <v>5</v>
      </c>
      <c r="Q15" s="53">
        <v>2018</v>
      </c>
      <c r="R15">
        <v>12.483000000000001</v>
      </c>
      <c r="S15" s="53">
        <v>1</v>
      </c>
      <c r="T15" s="21">
        <v>1546.2730000000006</v>
      </c>
      <c r="U15" t="s">
        <v>99</v>
      </c>
    </row>
    <row r="16" spans="1:21" x14ac:dyDescent="0.25">
      <c r="A16" s="50">
        <v>7</v>
      </c>
      <c r="B16" s="50">
        <v>16182</v>
      </c>
      <c r="C16" s="50">
        <v>29835</v>
      </c>
      <c r="D16" s="50">
        <v>31934</v>
      </c>
      <c r="E16" s="50">
        <v>1791</v>
      </c>
      <c r="F16" t="s">
        <v>65</v>
      </c>
      <c r="G16">
        <v>90</v>
      </c>
      <c r="H16">
        <f t="shared" si="2"/>
        <v>979</v>
      </c>
      <c r="I16">
        <f t="shared" si="4"/>
        <v>567</v>
      </c>
      <c r="J16">
        <f t="shared" si="3"/>
        <v>1379</v>
      </c>
      <c r="K16">
        <f>B16-B17</f>
        <v>408</v>
      </c>
      <c r="L16">
        <f>D16-D17</f>
        <v>979</v>
      </c>
      <c r="O16" s="53">
        <v>31</v>
      </c>
      <c r="P16" s="53">
        <v>8</v>
      </c>
      <c r="Q16" s="53">
        <v>2018</v>
      </c>
      <c r="R16">
        <v>16.835000000000001</v>
      </c>
      <c r="S16" s="53">
        <v>1</v>
      </c>
      <c r="T16" s="21">
        <v>1026.6199999999997</v>
      </c>
      <c r="U16" t="s">
        <v>100</v>
      </c>
    </row>
    <row r="17" spans="1:21" x14ac:dyDescent="0.25">
      <c r="A17" s="50">
        <v>8</v>
      </c>
      <c r="B17" s="50">
        <v>15774</v>
      </c>
      <c r="C17" s="50">
        <v>29268</v>
      </c>
      <c r="D17" s="50">
        <v>30955</v>
      </c>
      <c r="E17" s="50">
        <v>872</v>
      </c>
      <c r="F17" t="s">
        <v>66</v>
      </c>
      <c r="G17">
        <v>92</v>
      </c>
      <c r="H17">
        <f t="shared" si="2"/>
        <v>593</v>
      </c>
      <c r="I17">
        <f t="shared" si="4"/>
        <v>1547</v>
      </c>
      <c r="J17">
        <f t="shared" si="3"/>
        <v>1826</v>
      </c>
      <c r="K17">
        <f>B17-B18</f>
        <v>745</v>
      </c>
      <c r="L17">
        <f>D17-D18</f>
        <v>593</v>
      </c>
      <c r="O17" s="53">
        <v>30</v>
      </c>
      <c r="P17" s="53">
        <v>11</v>
      </c>
      <c r="Q17" s="53">
        <v>2018</v>
      </c>
      <c r="R17">
        <v>35.42</v>
      </c>
      <c r="S17" s="53">
        <v>1</v>
      </c>
      <c r="T17" s="21">
        <v>2120.9699999999998</v>
      </c>
      <c r="U17" t="s">
        <v>97</v>
      </c>
    </row>
    <row r="18" spans="1:21" x14ac:dyDescent="0.25">
      <c r="A18" s="50">
        <v>9</v>
      </c>
      <c r="B18" s="50">
        <v>15029</v>
      </c>
      <c r="C18" s="50">
        <v>27721</v>
      </c>
      <c r="D18" s="50">
        <v>30362</v>
      </c>
      <c r="E18" s="50">
        <v>1432</v>
      </c>
      <c r="F18" t="s">
        <v>59</v>
      </c>
      <c r="G18">
        <v>91</v>
      </c>
      <c r="H18">
        <f t="shared" si="2"/>
        <v>1048</v>
      </c>
      <c r="I18">
        <f t="shared" si="4"/>
        <v>830</v>
      </c>
      <c r="J18">
        <f t="shared" si="3"/>
        <v>1214</v>
      </c>
      <c r="K18">
        <f>B18-B19</f>
        <v>562</v>
      </c>
      <c r="L18">
        <f>D18-D19</f>
        <v>1048</v>
      </c>
      <c r="O18" s="53">
        <v>28</v>
      </c>
      <c r="P18" s="53">
        <v>2</v>
      </c>
      <c r="Q18" s="53">
        <v>2019</v>
      </c>
      <c r="R18">
        <v>25.084</v>
      </c>
      <c r="S18" s="53">
        <v>1</v>
      </c>
      <c r="T18" s="21">
        <v>2620.5350000000003</v>
      </c>
      <c r="U18" t="s">
        <v>98</v>
      </c>
    </row>
    <row r="19" spans="1:21" x14ac:dyDescent="0.25">
      <c r="A19" s="50">
        <v>10</v>
      </c>
      <c r="B19" s="50">
        <v>14467</v>
      </c>
      <c r="C19" s="50">
        <v>26891</v>
      </c>
      <c r="D19" s="50">
        <v>29314</v>
      </c>
      <c r="E19" s="50">
        <v>2555</v>
      </c>
      <c r="F19" t="s">
        <v>60</v>
      </c>
      <c r="G19">
        <v>93</v>
      </c>
      <c r="H19">
        <f t="shared" si="2"/>
        <v>2238</v>
      </c>
      <c r="I19">
        <f t="shared" si="4"/>
        <v>702</v>
      </c>
      <c r="J19">
        <f t="shared" si="3"/>
        <v>1019</v>
      </c>
      <c r="K19">
        <f>B19-B20</f>
        <v>616</v>
      </c>
      <c r="L19">
        <f>D19-D20</f>
        <v>2238</v>
      </c>
      <c r="O19" s="53">
        <v>31</v>
      </c>
      <c r="P19" s="53">
        <v>5</v>
      </c>
      <c r="Q19" s="53">
        <v>2019</v>
      </c>
      <c r="R19">
        <v>5.62</v>
      </c>
      <c r="S19" s="53">
        <v>1</v>
      </c>
      <c r="T19" s="21">
        <v>1468.2740000000001</v>
      </c>
      <c r="U19" t="s">
        <v>99</v>
      </c>
    </row>
    <row r="20" spans="1:21" x14ac:dyDescent="0.25">
      <c r="A20" s="50">
        <v>11</v>
      </c>
      <c r="B20" s="50">
        <v>13851</v>
      </c>
      <c r="C20" s="50">
        <v>26189</v>
      </c>
      <c r="D20" s="50">
        <v>27076</v>
      </c>
      <c r="E20" s="50">
        <v>2043</v>
      </c>
      <c r="F20" t="s">
        <v>61</v>
      </c>
      <c r="G20">
        <v>90</v>
      </c>
      <c r="H20">
        <f t="shared" si="2"/>
        <v>282</v>
      </c>
      <c r="I20">
        <f t="shared" si="4"/>
        <v>985</v>
      </c>
      <c r="J20">
        <f t="shared" si="3"/>
        <v>2746</v>
      </c>
      <c r="K20">
        <f>B20-B21</f>
        <v>599</v>
      </c>
      <c r="L20">
        <f>D20-D21</f>
        <v>282</v>
      </c>
      <c r="O20" s="53">
        <v>31</v>
      </c>
      <c r="P20" s="53">
        <v>8</v>
      </c>
      <c r="Q20" s="53">
        <v>2019</v>
      </c>
      <c r="R20">
        <v>19.167000000000002</v>
      </c>
      <c r="S20" s="53">
        <v>1</v>
      </c>
      <c r="T20" s="21">
        <v>959.72400000000016</v>
      </c>
      <c r="U20" t="s">
        <v>100</v>
      </c>
    </row>
    <row r="21" spans="1:21" x14ac:dyDescent="0.25">
      <c r="A21" s="50">
        <v>12</v>
      </c>
      <c r="B21" s="50">
        <v>13252</v>
      </c>
      <c r="C21" s="50">
        <f>C22+1881</f>
        <v>25204</v>
      </c>
      <c r="D21" s="50">
        <v>26794</v>
      </c>
      <c r="E21" s="50">
        <v>941</v>
      </c>
      <c r="F21" t="s">
        <v>62</v>
      </c>
      <c r="G21">
        <v>92</v>
      </c>
      <c r="H21">
        <f t="shared" si="2"/>
        <v>468</v>
      </c>
      <c r="I21">
        <f>C21-C22</f>
        <v>1881</v>
      </c>
      <c r="J21">
        <f t="shared" si="3"/>
        <v>2354</v>
      </c>
      <c r="K21">
        <f>B21-B22</f>
        <v>704</v>
      </c>
      <c r="L21">
        <f>D21-D22</f>
        <v>468</v>
      </c>
      <c r="O21" s="53">
        <v>30</v>
      </c>
      <c r="P21" s="53">
        <v>11</v>
      </c>
      <c r="Q21" s="53">
        <v>2019</v>
      </c>
      <c r="R21">
        <v>31.858000000000001</v>
      </c>
      <c r="S21" s="53">
        <v>1</v>
      </c>
      <c r="T21" s="21">
        <v>2185.6029999999992</v>
      </c>
      <c r="U21" t="s">
        <v>97</v>
      </c>
    </row>
    <row r="22" spans="1:21" x14ac:dyDescent="0.25">
      <c r="A22" s="50">
        <v>13</v>
      </c>
      <c r="B22" s="50">
        <v>12548</v>
      </c>
      <c r="C22" s="50">
        <v>23323</v>
      </c>
      <c r="D22" s="50">
        <v>26326</v>
      </c>
      <c r="E22" s="50">
        <v>1483</v>
      </c>
      <c r="F22" t="s">
        <v>58</v>
      </c>
      <c r="G22">
        <v>91</v>
      </c>
      <c r="H22">
        <f t="shared" si="2"/>
        <v>822</v>
      </c>
      <c r="I22">
        <f t="shared" ref="I22:I25" si="5">C22-C23</f>
        <v>548</v>
      </c>
      <c r="J22">
        <f t="shared" si="3"/>
        <v>1209</v>
      </c>
      <c r="K22">
        <f t="shared" ref="K22:K25" si="6">B22-B23</f>
        <v>354</v>
      </c>
      <c r="O22" s="53">
        <v>29</v>
      </c>
      <c r="P22" s="53">
        <v>2</v>
      </c>
      <c r="Q22" s="53">
        <v>2020</v>
      </c>
      <c r="R22">
        <v>27.106000000000002</v>
      </c>
      <c r="S22" s="53">
        <v>1</v>
      </c>
      <c r="T22" s="21">
        <v>2584.2660000000014</v>
      </c>
      <c r="U22" t="s">
        <v>98</v>
      </c>
    </row>
    <row r="23" spans="1:21" x14ac:dyDescent="0.25">
      <c r="A23" s="50">
        <v>14</v>
      </c>
      <c r="B23" s="50">
        <v>12194</v>
      </c>
      <c r="C23" s="50">
        <v>22775</v>
      </c>
      <c r="D23" s="50">
        <v>25504</v>
      </c>
      <c r="E23" s="50">
        <v>2619</v>
      </c>
      <c r="F23" t="s">
        <v>57</v>
      </c>
      <c r="G23">
        <v>93</v>
      </c>
      <c r="H23">
        <f t="shared" si="2"/>
        <v>1637</v>
      </c>
      <c r="I23">
        <f t="shared" si="5"/>
        <v>580</v>
      </c>
      <c r="J23">
        <f t="shared" si="3"/>
        <v>1562</v>
      </c>
      <c r="K23">
        <f t="shared" si="6"/>
        <v>485</v>
      </c>
      <c r="O23" s="53">
        <v>31</v>
      </c>
      <c r="P23" s="53">
        <v>5</v>
      </c>
      <c r="Q23" s="53">
        <v>2020</v>
      </c>
      <c r="R23">
        <v>6.1619999999999999</v>
      </c>
      <c r="S23" s="53">
        <v>1</v>
      </c>
      <c r="T23" s="21">
        <v>1435.0559999999996</v>
      </c>
      <c r="U23" t="s">
        <v>99</v>
      </c>
    </row>
    <row r="24" spans="1:21" x14ac:dyDescent="0.25">
      <c r="A24" s="50">
        <v>15</v>
      </c>
      <c r="B24" s="50">
        <v>11709</v>
      </c>
      <c r="C24" s="50">
        <v>22195</v>
      </c>
      <c r="D24" s="50">
        <v>23867</v>
      </c>
      <c r="E24" s="50">
        <v>2005</v>
      </c>
      <c r="F24" t="s">
        <v>56</v>
      </c>
      <c r="G24">
        <v>90</v>
      </c>
      <c r="H24" s="53">
        <f t="shared" si="2"/>
        <v>1109.5630000000019</v>
      </c>
      <c r="I24" s="53">
        <f t="shared" si="5"/>
        <v>667.05199999999968</v>
      </c>
      <c r="J24" s="53">
        <f t="shared" si="3"/>
        <v>1562.4889999999978</v>
      </c>
      <c r="K24" s="53">
        <f t="shared" si="6"/>
        <v>416.30400000000009</v>
      </c>
      <c r="O24" s="53">
        <v>31</v>
      </c>
      <c r="P24" s="53">
        <v>8</v>
      </c>
      <c r="Q24" s="53">
        <v>2020</v>
      </c>
      <c r="R24">
        <v>15.85</v>
      </c>
      <c r="S24" s="53">
        <v>1</v>
      </c>
      <c r="T24" s="21">
        <v>1011.216</v>
      </c>
      <c r="U24" t="s">
        <v>100</v>
      </c>
    </row>
    <row r="25" spans="1:21" ht="15.75" x14ac:dyDescent="0.25">
      <c r="A25" s="50">
        <v>16</v>
      </c>
      <c r="B25" s="54">
        <f>B24-0.354*(B24-B26)</f>
        <v>11292.696</v>
      </c>
      <c r="C25" s="54">
        <f>C24-0.268*(C24-C26)</f>
        <v>21527.948</v>
      </c>
      <c r="D25" s="54">
        <f>D24-0.623*(D24-D26)</f>
        <v>22757.436999999998</v>
      </c>
      <c r="E25" s="50">
        <v>1011</v>
      </c>
      <c r="F25" t="s">
        <v>55</v>
      </c>
      <c r="G25">
        <v>92</v>
      </c>
      <c r="H25" s="53">
        <f t="shared" si="2"/>
        <v>671.43699999999808</v>
      </c>
      <c r="I25" s="53">
        <f t="shared" si="5"/>
        <v>1821.9480000000003</v>
      </c>
      <c r="J25" s="53">
        <f t="shared" si="3"/>
        <v>2161.5110000000022</v>
      </c>
      <c r="K25" s="53">
        <f t="shared" si="6"/>
        <v>759.69599999999991</v>
      </c>
      <c r="O25" s="53">
        <v>30</v>
      </c>
      <c r="P25" s="53">
        <v>11</v>
      </c>
      <c r="Q25" s="53">
        <v>2020</v>
      </c>
      <c r="R25">
        <v>32.601999999999997</v>
      </c>
      <c r="S25" s="53">
        <v>1</v>
      </c>
      <c r="T25" s="21">
        <v>2005.45</v>
      </c>
      <c r="U25" t="s">
        <v>97</v>
      </c>
    </row>
    <row r="26" spans="1:21" x14ac:dyDescent="0.25">
      <c r="A26" s="50">
        <v>17</v>
      </c>
      <c r="B26" s="50">
        <v>10533</v>
      </c>
      <c r="C26" s="50">
        <v>19706</v>
      </c>
      <c r="D26" s="50">
        <v>22086</v>
      </c>
      <c r="E26" s="50">
        <v>1435</v>
      </c>
      <c r="F26" t="s">
        <v>2</v>
      </c>
      <c r="G26">
        <v>91</v>
      </c>
      <c r="H26" s="55">
        <v>876</v>
      </c>
      <c r="I26">
        <v>994</v>
      </c>
      <c r="J26">
        <f t="shared" si="3"/>
        <v>1553</v>
      </c>
      <c r="K26">
        <v>540</v>
      </c>
      <c r="L26">
        <v>876</v>
      </c>
      <c r="O26" s="53">
        <v>28</v>
      </c>
      <c r="P26" s="53">
        <v>2</v>
      </c>
      <c r="Q26" s="53">
        <v>2021</v>
      </c>
      <c r="R26">
        <v>27.827999999999999</v>
      </c>
      <c r="S26" s="53">
        <v>1</v>
      </c>
      <c r="T26" s="21">
        <v>2618.7109999999984</v>
      </c>
      <c r="U26" t="s">
        <v>98</v>
      </c>
    </row>
    <row r="27" spans="1:21" x14ac:dyDescent="0.25">
      <c r="A27" s="50">
        <v>18</v>
      </c>
      <c r="E27" s="50">
        <v>2584</v>
      </c>
      <c r="F27" t="s">
        <v>5</v>
      </c>
      <c r="G27">
        <v>93</v>
      </c>
      <c r="H27" s="55">
        <v>1639</v>
      </c>
      <c r="I27">
        <v>737</v>
      </c>
      <c r="J27">
        <f t="shared" si="3"/>
        <v>1682</v>
      </c>
      <c r="K27">
        <v>445</v>
      </c>
      <c r="L27">
        <v>1639</v>
      </c>
      <c r="O27" s="53">
        <v>31</v>
      </c>
      <c r="P27" s="53">
        <v>5</v>
      </c>
      <c r="Q27" s="53">
        <v>2021</v>
      </c>
      <c r="R27">
        <v>5.8490000000000002</v>
      </c>
      <c r="S27" s="53">
        <v>1</v>
      </c>
      <c r="T27" s="21">
        <v>1482.6649999999993</v>
      </c>
      <c r="U27" t="s">
        <v>99</v>
      </c>
    </row>
    <row r="28" spans="1:21" x14ac:dyDescent="0.25">
      <c r="A28" s="50">
        <v>19</v>
      </c>
      <c r="E28" s="50">
        <v>2186</v>
      </c>
      <c r="F28" t="s">
        <v>6</v>
      </c>
      <c r="G28">
        <v>90</v>
      </c>
      <c r="H28" s="55">
        <v>1539</v>
      </c>
      <c r="I28">
        <v>776</v>
      </c>
      <c r="J28">
        <f t="shared" si="3"/>
        <v>1423</v>
      </c>
      <c r="K28">
        <v>550</v>
      </c>
      <c r="L28">
        <v>1539</v>
      </c>
      <c r="O28" s="53">
        <v>31</v>
      </c>
      <c r="P28" s="53">
        <v>8</v>
      </c>
      <c r="Q28" s="53">
        <v>2021</v>
      </c>
      <c r="R28">
        <v>18.834</v>
      </c>
      <c r="S28" s="53">
        <v>1</v>
      </c>
      <c r="T28" s="21">
        <v>940.94500000000016</v>
      </c>
      <c r="U28" t="s">
        <v>100</v>
      </c>
    </row>
    <row r="29" spans="1:21" x14ac:dyDescent="0.25">
      <c r="A29" s="50">
        <v>20</v>
      </c>
      <c r="E29" s="50">
        <v>960</v>
      </c>
      <c r="F29" t="s">
        <v>11</v>
      </c>
      <c r="G29">
        <v>92</v>
      </c>
      <c r="H29" s="55">
        <v>545</v>
      </c>
      <c r="I29">
        <v>1629</v>
      </c>
      <c r="J29">
        <f t="shared" si="3"/>
        <v>2044</v>
      </c>
      <c r="K29">
        <v>594</v>
      </c>
      <c r="L29">
        <v>545</v>
      </c>
      <c r="O29" s="53">
        <v>30</v>
      </c>
      <c r="P29" s="53">
        <v>11</v>
      </c>
      <c r="Q29" s="53">
        <v>2021</v>
      </c>
      <c r="R29">
        <v>32.097999999999999</v>
      </c>
      <c r="S29" s="53">
        <v>1</v>
      </c>
      <c r="T29" s="21">
        <v>2043.0370000000005</v>
      </c>
      <c r="U29" t="s">
        <v>97</v>
      </c>
    </row>
    <row r="30" spans="1:21" x14ac:dyDescent="0.25">
      <c r="A30" s="50">
        <v>21</v>
      </c>
      <c r="E30" s="50">
        <v>1468</v>
      </c>
      <c r="F30" t="s">
        <v>12</v>
      </c>
      <c r="G30">
        <v>92</v>
      </c>
      <c r="H30" s="55">
        <v>1055</v>
      </c>
      <c r="I30">
        <v>741</v>
      </c>
      <c r="J30">
        <f t="shared" si="3"/>
        <v>1154</v>
      </c>
      <c r="K30">
        <v>495</v>
      </c>
      <c r="L30">
        <v>1055</v>
      </c>
      <c r="O30" s="53">
        <v>28</v>
      </c>
      <c r="P30" s="53">
        <v>2</v>
      </c>
      <c r="Q30" s="53">
        <v>2022</v>
      </c>
      <c r="R30">
        <v>15.111000000000001</v>
      </c>
      <c r="S30" s="53">
        <v>1</v>
      </c>
      <c r="T30" s="21">
        <v>2554.8740000000003</v>
      </c>
      <c r="U30" t="s">
        <v>98</v>
      </c>
    </row>
    <row r="31" spans="1:21" x14ac:dyDescent="0.25">
      <c r="A31" s="50">
        <v>22</v>
      </c>
      <c r="E31" s="50">
        <v>2620</v>
      </c>
      <c r="F31" t="s">
        <v>13</v>
      </c>
      <c r="G31">
        <v>95</v>
      </c>
      <c r="H31" s="55">
        <v>1701</v>
      </c>
      <c r="I31">
        <v>840</v>
      </c>
      <c r="J31">
        <f t="shared" si="3"/>
        <v>1759</v>
      </c>
      <c r="K31">
        <v>434</v>
      </c>
      <c r="L31">
        <v>1701</v>
      </c>
      <c r="O31" s="53">
        <v>31</v>
      </c>
      <c r="P31" s="53">
        <v>5</v>
      </c>
      <c r="Q31" s="53">
        <v>2022</v>
      </c>
      <c r="R31">
        <v>9.7680000000000007</v>
      </c>
      <c r="S31" s="53">
        <v>1</v>
      </c>
      <c r="T31" s="21">
        <v>1432.2369999999999</v>
      </c>
      <c r="U31" t="s">
        <v>99</v>
      </c>
    </row>
    <row r="32" spans="1:21" x14ac:dyDescent="0.25">
      <c r="A32" s="50">
        <v>23</v>
      </c>
      <c r="E32" s="50">
        <v>2121</v>
      </c>
      <c r="F32" t="s">
        <v>14</v>
      </c>
      <c r="G32">
        <v>86</v>
      </c>
      <c r="H32" s="55">
        <v>1471</v>
      </c>
      <c r="I32">
        <v>646</v>
      </c>
      <c r="J32">
        <f t="shared" si="3"/>
        <v>1296</v>
      </c>
      <c r="K32">
        <v>536</v>
      </c>
      <c r="L32">
        <v>1471</v>
      </c>
      <c r="O32" s="53">
        <v>31</v>
      </c>
      <c r="P32" s="53">
        <v>8</v>
      </c>
      <c r="Q32" s="53">
        <v>2022</v>
      </c>
      <c r="R32">
        <v>13.765000000000001</v>
      </c>
      <c r="S32" s="53">
        <v>1</v>
      </c>
      <c r="T32" s="21">
        <v>871.93100000000004</v>
      </c>
      <c r="U32" t="s">
        <v>100</v>
      </c>
    </row>
    <row r="33" spans="1:21" x14ac:dyDescent="0.25">
      <c r="A33" s="50">
        <v>24</v>
      </c>
      <c r="E33" s="50">
        <v>1026</v>
      </c>
      <c r="F33" t="s">
        <v>15</v>
      </c>
      <c r="G33">
        <v>91</v>
      </c>
      <c r="H33" s="55">
        <v>502</v>
      </c>
      <c r="I33">
        <v>2065</v>
      </c>
      <c r="J33">
        <f t="shared" si="3"/>
        <v>2589</v>
      </c>
      <c r="K33">
        <v>644</v>
      </c>
      <c r="L33">
        <v>502</v>
      </c>
      <c r="O33" s="53">
        <v>30</v>
      </c>
      <c r="P33" s="53">
        <v>11</v>
      </c>
      <c r="Q33" s="53">
        <v>2022</v>
      </c>
      <c r="R33">
        <v>36.743000000000002</v>
      </c>
      <c r="S33" s="53">
        <v>1</v>
      </c>
      <c r="T33" s="21">
        <v>1791.2649999999994</v>
      </c>
      <c r="U33" t="s">
        <v>97</v>
      </c>
    </row>
    <row r="34" spans="1:21" x14ac:dyDescent="0.25">
      <c r="A34" s="56">
        <v>25</v>
      </c>
      <c r="B34" s="56"/>
      <c r="C34" s="56"/>
      <c r="D34" s="56"/>
      <c r="E34" s="56">
        <v>1546</v>
      </c>
      <c r="F34" s="23" t="s">
        <v>16</v>
      </c>
      <c r="G34" s="23">
        <v>91</v>
      </c>
      <c r="H34" s="57">
        <v>955</v>
      </c>
      <c r="I34" s="23">
        <v>1071</v>
      </c>
      <c r="J34" s="23">
        <f t="shared" si="3"/>
        <v>1662</v>
      </c>
      <c r="K34" s="23">
        <v>574</v>
      </c>
      <c r="L34">
        <v>955</v>
      </c>
      <c r="O34" s="53">
        <v>28</v>
      </c>
      <c r="P34" s="53">
        <v>2</v>
      </c>
      <c r="Q34" s="53">
        <v>2023</v>
      </c>
      <c r="R34">
        <v>17.77</v>
      </c>
      <c r="S34" s="53">
        <v>1</v>
      </c>
      <c r="T34" s="21">
        <v>2737.3349999999991</v>
      </c>
      <c r="U34" t="s">
        <v>98</v>
      </c>
    </row>
    <row r="35" spans="1:21" x14ac:dyDescent="0.25">
      <c r="O35" s="53">
        <v>31</v>
      </c>
      <c r="P35" s="53">
        <v>5</v>
      </c>
      <c r="Q35" s="53">
        <v>2023</v>
      </c>
      <c r="R35">
        <v>8.25</v>
      </c>
      <c r="S35" s="53">
        <v>1</v>
      </c>
      <c r="T35" s="21">
        <v>1326.69</v>
      </c>
      <c r="U35" t="s">
        <v>99</v>
      </c>
    </row>
    <row r="36" spans="1:21" ht="15.75" thickBot="1" x14ac:dyDescent="0.3">
      <c r="A36" t="s">
        <v>110</v>
      </c>
      <c r="B36" s="50" t="s">
        <v>101</v>
      </c>
      <c r="C36" t="s">
        <v>0</v>
      </c>
      <c r="D36" t="s">
        <v>0</v>
      </c>
      <c r="E36" t="s">
        <v>1</v>
      </c>
      <c r="I36" s="27">
        <f>SUM(I10:I33)</f>
        <v>23809</v>
      </c>
      <c r="J36" s="27">
        <f>SUM(J10:J33)</f>
        <v>40175</v>
      </c>
      <c r="K36" s="27">
        <f>SUM(K10:K33)</f>
        <v>13464</v>
      </c>
      <c r="L36">
        <f t="shared" ref="K36:L36" si="7">SUM(L26:L33)/2</f>
        <v>4664</v>
      </c>
      <c r="O36" s="53">
        <v>31</v>
      </c>
      <c r="P36" s="53">
        <v>8</v>
      </c>
      <c r="Q36" s="53">
        <v>2023</v>
      </c>
      <c r="R36">
        <v>17.170000000000002</v>
      </c>
      <c r="S36" s="53">
        <v>1</v>
      </c>
      <c r="T36" s="21">
        <v>916.98000000000013</v>
      </c>
      <c r="U36" t="s">
        <v>100</v>
      </c>
    </row>
    <row r="37" spans="1:21" ht="15.75" thickTop="1" x14ac:dyDescent="0.25">
      <c r="B37" s="50" t="s">
        <v>70</v>
      </c>
      <c r="C37" t="s">
        <v>80</v>
      </c>
      <c r="D37" t="s">
        <v>84</v>
      </c>
      <c r="E37" t="s">
        <v>80</v>
      </c>
      <c r="O37" s="53">
        <v>30</v>
      </c>
      <c r="P37" s="53">
        <v>11</v>
      </c>
      <c r="Q37" s="53">
        <v>2023</v>
      </c>
      <c r="R37">
        <v>36.29</v>
      </c>
      <c r="S37" s="53">
        <v>1</v>
      </c>
      <c r="T37" s="21">
        <v>2217.1099999999997</v>
      </c>
      <c r="U37" t="s">
        <v>97</v>
      </c>
    </row>
    <row r="38" spans="1:21" ht="15.75" thickBot="1" x14ac:dyDescent="0.3">
      <c r="A38" t="s">
        <v>106</v>
      </c>
      <c r="B38" s="59">
        <f>(H10+H14+H18+H22+H26+H30)/6</f>
        <v>915.16666666666663</v>
      </c>
      <c r="C38" s="59">
        <f t="shared" ref="C38:E38" si="8">(I10+I14+I18+I22+I26+I30)/6</f>
        <v>839.33333333333337</v>
      </c>
      <c r="D38" s="59">
        <f t="shared" si="8"/>
        <v>1364.8333333333333</v>
      </c>
      <c r="E38" s="59">
        <f t="shared" si="8"/>
        <v>523.83333333333337</v>
      </c>
      <c r="H38" t="s">
        <v>103</v>
      </c>
      <c r="I38" s="58">
        <f>I36/6</f>
        <v>3968.1666666666665</v>
      </c>
      <c r="J38" s="58">
        <f>J36/6</f>
        <v>6695.833333333333</v>
      </c>
      <c r="K38" s="27">
        <f>K36/6</f>
        <v>2244</v>
      </c>
      <c r="O38" s="53">
        <v>29</v>
      </c>
      <c r="P38" s="53">
        <v>2</v>
      </c>
      <c r="Q38" s="53">
        <v>2024</v>
      </c>
      <c r="R38">
        <v>24.78</v>
      </c>
      <c r="S38" s="53">
        <v>1</v>
      </c>
      <c r="T38" s="21">
        <v>2536.0099999999998</v>
      </c>
      <c r="U38" t="s">
        <v>98</v>
      </c>
    </row>
    <row r="39" spans="1:21" ht="15.75" thickTop="1" x14ac:dyDescent="0.25">
      <c r="A39" t="s">
        <v>107</v>
      </c>
      <c r="B39" s="59">
        <f>(H11+H15+H19+H23+H27+H31)/6</f>
        <v>1724.3333333333333</v>
      </c>
      <c r="C39" s="59">
        <f t="shared" ref="C39:E39" si="9">(I11+I15+I19+I23+I27+I31)/6</f>
        <v>694.66666666666663</v>
      </c>
      <c r="D39" s="59">
        <f t="shared" si="9"/>
        <v>1578.8333333333333</v>
      </c>
      <c r="E39" s="59">
        <f t="shared" si="9"/>
        <v>519.66666666666663</v>
      </c>
      <c r="O39" s="53">
        <v>31</v>
      </c>
      <c r="P39" s="53">
        <v>5</v>
      </c>
      <c r="Q39" s="53">
        <v>2024</v>
      </c>
      <c r="R39">
        <v>3.81</v>
      </c>
      <c r="S39" s="53">
        <v>1</v>
      </c>
      <c r="T39" s="21">
        <v>1499.4599999999994</v>
      </c>
      <c r="U39" t="s">
        <v>99</v>
      </c>
    </row>
    <row r="40" spans="1:21" ht="15.75" thickBot="1" x14ac:dyDescent="0.3">
      <c r="A40" t="s">
        <v>108</v>
      </c>
      <c r="B40" s="59">
        <f>(H12+H16+H20+H24+H28+H32)/6</f>
        <v>1152.4271666666671</v>
      </c>
      <c r="C40" s="59">
        <f t="shared" ref="C40:E40" si="10">(I12+I16+I20+I24+I28+I32)/6</f>
        <v>698.84199999999998</v>
      </c>
      <c r="D40" s="59">
        <f t="shared" si="10"/>
        <v>1606.914833333333</v>
      </c>
      <c r="E40" s="59">
        <f t="shared" si="10"/>
        <v>515.71733333333339</v>
      </c>
      <c r="H40" t="s">
        <v>105</v>
      </c>
      <c r="J40" s="58">
        <f>J38+K38</f>
        <v>8939.8333333333321</v>
      </c>
      <c r="O40" s="53"/>
      <c r="P40" s="53"/>
      <c r="Q40" s="53"/>
      <c r="S40" s="53"/>
      <c r="T40" s="21"/>
      <c r="U40" t="s">
        <v>100</v>
      </c>
    </row>
    <row r="41" spans="1:21" ht="15.75" thickTop="1" x14ac:dyDescent="0.25">
      <c r="A41" t="s">
        <v>109</v>
      </c>
      <c r="B41" s="59">
        <f>(H13+H17+H21+H25+H29+H33)/6</f>
        <v>544.57283333333305</v>
      </c>
      <c r="C41" s="59">
        <f t="shared" ref="C41:E41" si="11">(I13+I17+I21+I25+I29+I33)/6</f>
        <v>1735.3246666666666</v>
      </c>
      <c r="D41" s="59">
        <f t="shared" si="11"/>
        <v>2145.2518333333337</v>
      </c>
      <c r="E41" s="59">
        <f t="shared" si="11"/>
        <v>684.78266666666661</v>
      </c>
      <c r="O41" s="53"/>
      <c r="P41" s="53"/>
      <c r="Q41" s="53"/>
      <c r="S41" s="53"/>
      <c r="T41" s="21"/>
    </row>
    <row r="42" spans="1:21" ht="15.75" thickBot="1" x14ac:dyDescent="0.3">
      <c r="D42" s="60">
        <f>SUM(D38:D41)</f>
        <v>6695.833333333333</v>
      </c>
      <c r="O42" s="53"/>
      <c r="P42" s="53"/>
      <c r="Q42" s="53"/>
      <c r="S42" s="53"/>
      <c r="T42" s="21"/>
    </row>
    <row r="43" spans="1:21" ht="15.75" thickTop="1" x14ac:dyDescent="0.25">
      <c r="A43" t="s">
        <v>111</v>
      </c>
      <c r="B43" s="50" t="s">
        <v>112</v>
      </c>
      <c r="C43" s="5">
        <f>I38/365.25</f>
        <v>10.8642482318047</v>
      </c>
      <c r="D43" s="5">
        <f>J38/365.25</f>
        <v>18.332192562172029</v>
      </c>
      <c r="E43" s="5">
        <f>K38/365.25</f>
        <v>6.1437371663244349</v>
      </c>
      <c r="O43" s="53"/>
      <c r="P43" s="53"/>
      <c r="Q43" s="53"/>
      <c r="S43" s="53"/>
      <c r="T43" s="21"/>
    </row>
    <row r="44" spans="1:21" x14ac:dyDescent="0.25">
      <c r="O44" s="53"/>
      <c r="P44" s="53"/>
      <c r="Q44" s="53"/>
      <c r="S44" s="53"/>
      <c r="T44" s="21"/>
    </row>
    <row r="45" spans="1:21" x14ac:dyDescent="0.25">
      <c r="A45" t="s">
        <v>113</v>
      </c>
      <c r="O45" s="53"/>
      <c r="P45" s="53"/>
      <c r="Q45" s="53"/>
      <c r="S45" s="53"/>
      <c r="T45" s="21"/>
    </row>
    <row r="46" spans="1:21" x14ac:dyDescent="0.25">
      <c r="O46" s="53"/>
      <c r="P46" s="53"/>
      <c r="Q46" s="53"/>
      <c r="S46" s="53"/>
      <c r="T46" s="21"/>
    </row>
    <row r="47" spans="1:21" x14ac:dyDescent="0.25">
      <c r="A47" t="s">
        <v>106</v>
      </c>
      <c r="B47" s="50">
        <f>4*D38/365.25</f>
        <v>14.946840063883185</v>
      </c>
      <c r="C47" s="59">
        <f>100*B47/$D$43</f>
        <v>81.533291848164282</v>
      </c>
      <c r="O47" s="53"/>
      <c r="P47" s="53"/>
      <c r="Q47" s="53"/>
      <c r="S47" s="53"/>
      <c r="T47" s="21"/>
    </row>
    <row r="48" spans="1:21" x14ac:dyDescent="0.25">
      <c r="A48" t="s">
        <v>107</v>
      </c>
      <c r="B48" s="50">
        <f t="shared" ref="B48:B50" si="12">4*D39/365.25</f>
        <v>17.290440337668262</v>
      </c>
      <c r="C48" s="59">
        <f t="shared" ref="C48:C50" si="13">100*B48/$D$43</f>
        <v>94.317361543248282</v>
      </c>
      <c r="O48" s="53"/>
      <c r="P48" s="53"/>
      <c r="Q48" s="53"/>
      <c r="S48" s="53"/>
      <c r="T48" s="21"/>
    </row>
    <row r="49" spans="1:20" x14ac:dyDescent="0.25">
      <c r="A49" t="s">
        <v>108</v>
      </c>
      <c r="B49" s="50">
        <f t="shared" si="12"/>
        <v>17.597972165183659</v>
      </c>
      <c r="C49" s="59">
        <f t="shared" si="13"/>
        <v>95.99491225886743</v>
      </c>
      <c r="O49" s="53"/>
      <c r="P49" s="53"/>
      <c r="Q49" s="53"/>
      <c r="S49" s="53"/>
      <c r="T49" s="21"/>
    </row>
    <row r="50" spans="1:20" x14ac:dyDescent="0.25">
      <c r="A50" t="s">
        <v>109</v>
      </c>
      <c r="B50" s="50">
        <f t="shared" si="12"/>
        <v>23.493517681953005</v>
      </c>
      <c r="C50" s="59">
        <f t="shared" si="13"/>
        <v>128.15443434971999</v>
      </c>
      <c r="O50" s="53"/>
      <c r="P50" s="53"/>
      <c r="Q50" s="53"/>
      <c r="S50" s="53"/>
      <c r="T50" s="21"/>
    </row>
    <row r="51" spans="1:20" x14ac:dyDescent="0.25">
      <c r="O51" s="53"/>
      <c r="P51" s="53"/>
      <c r="Q51" s="53"/>
      <c r="S51" s="53"/>
      <c r="T51" s="21"/>
    </row>
    <row r="52" spans="1:20" x14ac:dyDescent="0.25">
      <c r="O52" s="53"/>
      <c r="P52" s="53"/>
      <c r="Q52" s="53"/>
      <c r="S52" s="53"/>
      <c r="T52" s="21"/>
    </row>
    <row r="53" spans="1:20" x14ac:dyDescent="0.25">
      <c r="O53" s="53"/>
      <c r="P53" s="53"/>
      <c r="Q53" s="53"/>
      <c r="S53" s="53"/>
      <c r="T53" s="21"/>
    </row>
    <row r="54" spans="1:20" x14ac:dyDescent="0.25">
      <c r="O54" s="53"/>
      <c r="P54" s="53"/>
      <c r="Q54" s="53"/>
      <c r="S54" s="53"/>
      <c r="T54" s="21"/>
    </row>
    <row r="55" spans="1:20" x14ac:dyDescent="0.25">
      <c r="O55" s="53"/>
      <c r="P55" s="53"/>
      <c r="Q55" s="53"/>
      <c r="S55" s="53"/>
      <c r="T55" s="21"/>
    </row>
    <row r="56" spans="1:20" x14ac:dyDescent="0.25">
      <c r="O56" s="53"/>
      <c r="P56" s="53"/>
      <c r="Q56" s="53"/>
      <c r="S56" s="53"/>
      <c r="T56" s="21"/>
    </row>
    <row r="57" spans="1:20" x14ac:dyDescent="0.25">
      <c r="O57" s="53"/>
      <c r="P57" s="53"/>
      <c r="Q57" s="53"/>
      <c r="S57" s="53"/>
      <c r="T57" s="21"/>
    </row>
    <row r="58" spans="1:20" x14ac:dyDescent="0.25">
      <c r="O58" s="53"/>
      <c r="P58" s="53"/>
      <c r="Q58" s="53"/>
      <c r="S58" s="53"/>
      <c r="T58" s="21"/>
    </row>
    <row r="59" spans="1:20" x14ac:dyDescent="0.25">
      <c r="O59" s="53"/>
      <c r="P59" s="53"/>
      <c r="Q59" s="53"/>
      <c r="S59" s="53"/>
      <c r="T59" s="21"/>
    </row>
    <row r="60" spans="1:20" x14ac:dyDescent="0.25">
      <c r="O60" s="53"/>
      <c r="P60" s="53"/>
      <c r="Q60" s="53"/>
      <c r="S60" s="53"/>
      <c r="T60" s="21"/>
    </row>
    <row r="61" spans="1:20" x14ac:dyDescent="0.25">
      <c r="O61" s="53"/>
      <c r="P61" s="53"/>
      <c r="Q61" s="53"/>
      <c r="S61" s="53"/>
      <c r="T61" s="21"/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15480-CD1C-4D3C-BCBE-D715E69005D1}">
  <dimension ref="A1:Q28"/>
  <sheetViews>
    <sheetView workbookViewId="0">
      <selection activeCell="R19" sqref="R19"/>
    </sheetView>
  </sheetViews>
  <sheetFormatPr defaultRowHeight="15" x14ac:dyDescent="0.25"/>
  <cols>
    <col min="1" max="1" width="20.7109375" customWidth="1"/>
    <col min="6" max="6" width="10.42578125" customWidth="1"/>
    <col min="9" max="9" width="11.5703125" customWidth="1"/>
  </cols>
  <sheetData>
    <row r="1" spans="1:17" x14ac:dyDescent="0.25">
      <c r="A1" t="s">
        <v>32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H1" t="s">
        <v>45</v>
      </c>
      <c r="I1" t="s">
        <v>46</v>
      </c>
      <c r="J1" t="s">
        <v>47</v>
      </c>
      <c r="K1" t="s">
        <v>48</v>
      </c>
      <c r="L1" t="s">
        <v>49</v>
      </c>
      <c r="M1" t="s">
        <v>50</v>
      </c>
    </row>
    <row r="3" spans="1:17" x14ac:dyDescent="0.25">
      <c r="A3" t="s">
        <v>25</v>
      </c>
      <c r="B3" s="23">
        <v>320.61200000000002</v>
      </c>
      <c r="C3" s="23">
        <v>533.97899999999993</v>
      </c>
      <c r="D3" s="23">
        <v>864.24200000000008</v>
      </c>
      <c r="E3" s="25">
        <v>981.30100000000016</v>
      </c>
      <c r="F3" s="25">
        <v>947.3130000000001</v>
      </c>
      <c r="G3" s="25">
        <v>802.44899999999984</v>
      </c>
      <c r="H3" s="22">
        <v>647.86300000000006</v>
      </c>
      <c r="I3" s="22">
        <v>517.96799999999996</v>
      </c>
      <c r="J3" s="22">
        <v>313.56100000000004</v>
      </c>
      <c r="K3" s="24">
        <v>273.53800000000007</v>
      </c>
      <c r="L3" s="24">
        <v>278.44200000000001</v>
      </c>
      <c r="M3" s="24">
        <v>438.214</v>
      </c>
    </row>
    <row r="4" spans="1:17" x14ac:dyDescent="0.25">
      <c r="A4" t="s">
        <v>26</v>
      </c>
      <c r="B4" s="23">
        <v>493.56699999999995</v>
      </c>
      <c r="C4" s="23">
        <v>746.83700000000022</v>
      </c>
      <c r="D4" s="23">
        <v>886.77600000000018</v>
      </c>
      <c r="E4" s="25">
        <v>887.46900000000016</v>
      </c>
      <c r="F4" s="25">
        <v>956.67099999999994</v>
      </c>
      <c r="G4" s="25">
        <v>724.60699999999997</v>
      </c>
      <c r="H4" s="22">
        <v>650.42700000000002</v>
      </c>
      <c r="I4" s="22">
        <v>468.78400000000005</v>
      </c>
      <c r="J4" s="22">
        <v>354.38200000000018</v>
      </c>
      <c r="K4" s="24">
        <v>327.45600000000002</v>
      </c>
      <c r="L4" s="24">
        <v>294.58999999999997</v>
      </c>
      <c r="M4" s="24">
        <v>379.12299999999999</v>
      </c>
    </row>
    <row r="5" spans="1:17" x14ac:dyDescent="0.25">
      <c r="A5" t="s">
        <v>27</v>
      </c>
      <c r="B5" s="23">
        <v>579.27500000000032</v>
      </c>
      <c r="C5" s="23">
        <v>732.12299999999982</v>
      </c>
      <c r="D5" s="23">
        <v>742.38200000000018</v>
      </c>
      <c r="E5" s="25">
        <v>889.71299999999997</v>
      </c>
      <c r="F5" s="25">
        <v>907.0150000000001</v>
      </c>
      <c r="G5" s="25">
        <v>722.09300000000007</v>
      </c>
      <c r="H5" s="22">
        <v>702.39600000000019</v>
      </c>
      <c r="I5" s="22">
        <v>533.97899999999993</v>
      </c>
      <c r="J5" s="22">
        <v>309.89800000000008</v>
      </c>
      <c r="K5" s="24">
        <v>289.64599999999996</v>
      </c>
      <c r="L5" s="24">
        <v>321.233</v>
      </c>
      <c r="M5" s="24">
        <v>415.74099999999987</v>
      </c>
    </row>
    <row r="6" spans="1:17" x14ac:dyDescent="0.25">
      <c r="A6" t="s">
        <v>28</v>
      </c>
      <c r="B6" s="23">
        <v>622.26400000000001</v>
      </c>
      <c r="C6" s="23">
        <v>679.41300000000001</v>
      </c>
      <c r="D6" s="23">
        <v>819.29299999999978</v>
      </c>
      <c r="E6" s="25">
        <v>890.01599999999985</v>
      </c>
      <c r="F6" s="25">
        <v>947.69900000000007</v>
      </c>
      <c r="G6" s="25">
        <v>782.82</v>
      </c>
      <c r="H6" s="22">
        <v>648.30700000000024</v>
      </c>
      <c r="I6" s="22">
        <v>494.0440000000001</v>
      </c>
      <c r="J6" s="22">
        <v>325.923</v>
      </c>
      <c r="K6" s="24">
        <v>283.85099999999994</v>
      </c>
      <c r="L6" s="24">
        <v>296.28100000000006</v>
      </c>
      <c r="M6" s="24">
        <v>379.59199999999987</v>
      </c>
    </row>
    <row r="7" spans="1:17" x14ac:dyDescent="0.25">
      <c r="A7" t="s">
        <v>29</v>
      </c>
      <c r="B7" s="23">
        <v>586.73799999999994</v>
      </c>
      <c r="C7" s="23">
        <v>751.52599999999995</v>
      </c>
      <c r="D7" s="23">
        <v>847.33899999999994</v>
      </c>
      <c r="E7" s="25">
        <v>965.14400000000012</v>
      </c>
      <c r="F7" s="25">
        <v>888.35399999999993</v>
      </c>
      <c r="G7" s="25">
        <v>730.76800000000014</v>
      </c>
      <c r="H7" s="22">
        <v>640.01</v>
      </c>
      <c r="I7" s="22">
        <v>455.26100000000002</v>
      </c>
      <c r="J7" s="22">
        <v>339.78500000000003</v>
      </c>
      <c r="K7" s="24">
        <v>277.37399999999997</v>
      </c>
      <c r="L7" s="24">
        <v>332.72399999999999</v>
      </c>
      <c r="M7" s="24">
        <v>401.11799999999999</v>
      </c>
    </row>
    <row r="9" spans="1:17" x14ac:dyDescent="0.25">
      <c r="A9" t="s">
        <v>30</v>
      </c>
      <c r="B9" s="21">
        <f>AVERAGE(B3:B7)</f>
        <v>520.49120000000005</v>
      </c>
      <c r="C9" s="21">
        <f t="shared" ref="C9:M9" si="0">AVERAGE(C3:C7)</f>
        <v>688.77559999999994</v>
      </c>
      <c r="D9" s="21">
        <f t="shared" si="0"/>
        <v>832.00639999999999</v>
      </c>
      <c r="E9" s="21">
        <f t="shared" si="0"/>
        <v>922.72860000000003</v>
      </c>
      <c r="F9" s="21">
        <f t="shared" si="0"/>
        <v>929.41039999999998</v>
      </c>
      <c r="G9" s="21">
        <f t="shared" si="0"/>
        <v>752.54740000000004</v>
      </c>
      <c r="H9" s="21">
        <f t="shared" si="0"/>
        <v>657.80060000000014</v>
      </c>
      <c r="I9" s="21">
        <f t="shared" si="0"/>
        <v>494.00720000000001</v>
      </c>
      <c r="J9" s="21">
        <f t="shared" si="0"/>
        <v>328.70980000000009</v>
      </c>
      <c r="K9" s="21">
        <f t="shared" si="0"/>
        <v>290.37299999999999</v>
      </c>
      <c r="L9" s="21">
        <f t="shared" si="0"/>
        <v>304.65399999999994</v>
      </c>
      <c r="M9" s="21">
        <f t="shared" si="0"/>
        <v>402.75759999999997</v>
      </c>
      <c r="N9" t="s">
        <v>31</v>
      </c>
      <c r="P9" s="21">
        <f>SUM(B9:M9)*5</f>
        <v>35621.309000000001</v>
      </c>
      <c r="Q9" t="s">
        <v>33</v>
      </c>
    </row>
    <row r="13" spans="1:17" x14ac:dyDescent="0.25">
      <c r="A13" t="s">
        <v>34</v>
      </c>
    </row>
    <row r="14" spans="1:17" x14ac:dyDescent="0.25">
      <c r="L14">
        <v>32</v>
      </c>
      <c r="M14" t="s">
        <v>54</v>
      </c>
    </row>
    <row r="15" spans="1:17" x14ac:dyDescent="0.25">
      <c r="B15" t="s">
        <v>3</v>
      </c>
      <c r="C15" t="s">
        <v>0</v>
      </c>
      <c r="F15" t="s">
        <v>1</v>
      </c>
      <c r="G15" t="s">
        <v>4</v>
      </c>
      <c r="I15" t="s">
        <v>38</v>
      </c>
      <c r="J15" t="s">
        <v>52</v>
      </c>
      <c r="L15">
        <v>14</v>
      </c>
      <c r="M15" t="s">
        <v>53</v>
      </c>
    </row>
    <row r="16" spans="1:17" x14ac:dyDescent="0.25">
      <c r="F16" t="s">
        <v>35</v>
      </c>
      <c r="G16" t="s">
        <v>36</v>
      </c>
      <c r="I16" t="s">
        <v>37</v>
      </c>
      <c r="J16" t="s">
        <v>51</v>
      </c>
    </row>
    <row r="17" spans="1:16" x14ac:dyDescent="0.25">
      <c r="C17" t="s">
        <v>24</v>
      </c>
      <c r="D17" t="s">
        <v>23</v>
      </c>
      <c r="E17" t="s">
        <v>22</v>
      </c>
      <c r="F17" t="s">
        <v>24</v>
      </c>
      <c r="G17" t="s">
        <v>24</v>
      </c>
    </row>
    <row r="18" spans="1:16" x14ac:dyDescent="0.25">
      <c r="A18" t="s">
        <v>2</v>
      </c>
      <c r="B18">
        <v>91</v>
      </c>
      <c r="C18">
        <v>994</v>
      </c>
      <c r="D18">
        <v>994</v>
      </c>
      <c r="E18">
        <v>0</v>
      </c>
      <c r="F18">
        <v>540</v>
      </c>
      <c r="G18">
        <v>876</v>
      </c>
      <c r="I18">
        <f>SUM(H7:J7)</f>
        <v>1435.056</v>
      </c>
      <c r="J18" s="26">
        <f>(I18-G18)/I18</f>
        <v>0.38957085995250362</v>
      </c>
      <c r="L18">
        <f>I18*J18*$L$14/100 +(1-J18)*I18*$L$15/100</f>
        <v>301.53791999999999</v>
      </c>
      <c r="P18" s="26"/>
    </row>
    <row r="19" spans="1:16" x14ac:dyDescent="0.25">
      <c r="A19" t="s">
        <v>5</v>
      </c>
      <c r="B19">
        <v>93</v>
      </c>
      <c r="C19">
        <v>737</v>
      </c>
      <c r="D19">
        <v>737</v>
      </c>
      <c r="E19">
        <v>0</v>
      </c>
      <c r="F19">
        <v>445</v>
      </c>
      <c r="G19">
        <v>1639</v>
      </c>
      <c r="I19">
        <f>SUM(E7:G7)</f>
        <v>2584.2660000000001</v>
      </c>
      <c r="J19" s="26">
        <f t="shared" ref="J19:J26" si="1">(I19-G19)/I19</f>
        <v>0.36577736192791299</v>
      </c>
      <c r="L19">
        <f t="shared" ref="L19:L26" si="2">I19*J19*$L$14/100 +(1-J19)*I19*$L$15/100</f>
        <v>531.94512000000009</v>
      </c>
    </row>
    <row r="20" spans="1:16" x14ac:dyDescent="0.25">
      <c r="A20" t="s">
        <v>6</v>
      </c>
      <c r="B20">
        <v>90</v>
      </c>
      <c r="C20">
        <v>776</v>
      </c>
      <c r="D20">
        <v>776</v>
      </c>
      <c r="E20">
        <v>0</v>
      </c>
      <c r="F20">
        <v>550</v>
      </c>
      <c r="G20">
        <v>1539</v>
      </c>
      <c r="I20">
        <f>SUM(B7:D7)</f>
        <v>2185.6030000000001</v>
      </c>
      <c r="J20" s="26">
        <f t="shared" si="1"/>
        <v>0.29584650094276044</v>
      </c>
      <c r="L20">
        <f t="shared" si="2"/>
        <v>422.37296000000003</v>
      </c>
    </row>
    <row r="21" spans="1:16" x14ac:dyDescent="0.25">
      <c r="A21" t="s">
        <v>11</v>
      </c>
      <c r="B21">
        <v>92</v>
      </c>
      <c r="C21">
        <v>1629</v>
      </c>
      <c r="D21">
        <v>1008</v>
      </c>
      <c r="E21">
        <v>621</v>
      </c>
      <c r="F21">
        <v>594</v>
      </c>
      <c r="G21">
        <v>545</v>
      </c>
      <c r="I21">
        <f>SUM(K6:M6)</f>
        <v>959.72399999999993</v>
      </c>
      <c r="J21" s="26">
        <f t="shared" si="1"/>
        <v>0.43212840358269666</v>
      </c>
      <c r="L21">
        <f t="shared" si="2"/>
        <v>209.01167999999996</v>
      </c>
    </row>
    <row r="22" spans="1:16" x14ac:dyDescent="0.25">
      <c r="A22" t="s">
        <v>12</v>
      </c>
      <c r="B22">
        <v>92</v>
      </c>
      <c r="C22">
        <v>741</v>
      </c>
      <c r="D22">
        <v>741</v>
      </c>
      <c r="E22">
        <v>0</v>
      </c>
      <c r="F22">
        <v>495</v>
      </c>
      <c r="G22">
        <v>1055</v>
      </c>
      <c r="I22">
        <f>SUM(H6:J6)</f>
        <v>1468.2740000000003</v>
      </c>
      <c r="J22" s="26">
        <f t="shared" si="1"/>
        <v>0.28146926254908844</v>
      </c>
      <c r="L22">
        <f t="shared" si="2"/>
        <v>279.9476800000001</v>
      </c>
    </row>
    <row r="23" spans="1:16" x14ac:dyDescent="0.25">
      <c r="A23" t="s">
        <v>13</v>
      </c>
      <c r="B23">
        <v>95</v>
      </c>
      <c r="C23">
        <v>840</v>
      </c>
      <c r="D23">
        <v>840</v>
      </c>
      <c r="E23">
        <v>0</v>
      </c>
      <c r="F23">
        <v>434</v>
      </c>
      <c r="G23">
        <v>1701</v>
      </c>
      <c r="I23">
        <f>SUM(E6:G6)</f>
        <v>2620.5349999999999</v>
      </c>
      <c r="J23" s="26">
        <f t="shared" si="1"/>
        <v>0.35089590484385819</v>
      </c>
      <c r="L23">
        <f t="shared" si="2"/>
        <v>532.39119999999991</v>
      </c>
    </row>
    <row r="24" spans="1:16" x14ac:dyDescent="0.25">
      <c r="A24" t="s">
        <v>14</v>
      </c>
      <c r="B24">
        <v>86</v>
      </c>
      <c r="C24">
        <v>646</v>
      </c>
      <c r="D24">
        <v>646</v>
      </c>
      <c r="E24">
        <v>0</v>
      </c>
      <c r="F24">
        <v>536</v>
      </c>
      <c r="G24">
        <v>1471</v>
      </c>
      <c r="I24">
        <f>SUM(B6:D6)</f>
        <v>2120.9699999999998</v>
      </c>
      <c r="J24" s="26">
        <f t="shared" si="1"/>
        <v>0.30644940758237971</v>
      </c>
      <c r="L24">
        <f t="shared" si="2"/>
        <v>413.93039999999996</v>
      </c>
    </row>
    <row r="25" spans="1:16" x14ac:dyDescent="0.25">
      <c r="A25" t="s">
        <v>15</v>
      </c>
      <c r="B25">
        <v>91</v>
      </c>
      <c r="C25">
        <v>2065</v>
      </c>
      <c r="D25">
        <v>997</v>
      </c>
      <c r="E25">
        <v>1068</v>
      </c>
      <c r="F25">
        <v>644</v>
      </c>
      <c r="G25">
        <v>502</v>
      </c>
      <c r="I25">
        <f>SUM(K5:M5)</f>
        <v>1026.6199999999999</v>
      </c>
      <c r="J25" s="26">
        <f t="shared" si="1"/>
        <v>0.511016734526894</v>
      </c>
      <c r="L25">
        <f t="shared" si="2"/>
        <v>238.15839999999997</v>
      </c>
    </row>
    <row r="26" spans="1:16" x14ac:dyDescent="0.25">
      <c r="A26" t="s">
        <v>16</v>
      </c>
      <c r="B26">
        <v>91</v>
      </c>
      <c r="C26">
        <v>1071</v>
      </c>
      <c r="D26">
        <v>997</v>
      </c>
      <c r="E26">
        <v>74</v>
      </c>
      <c r="F26">
        <v>574</v>
      </c>
      <c r="G26">
        <v>955</v>
      </c>
      <c r="I26">
        <f>SUM(H5:J5)</f>
        <v>1546.2730000000001</v>
      </c>
      <c r="J26" s="26">
        <f t="shared" si="1"/>
        <v>0.38238590468824074</v>
      </c>
      <c r="L26">
        <f t="shared" si="2"/>
        <v>322.90736000000004</v>
      </c>
    </row>
    <row r="28" spans="1:16" x14ac:dyDescent="0.25">
      <c r="J28" s="26">
        <f>AVERAGE(J18:J25)</f>
        <v>0.36664430448851176</v>
      </c>
      <c r="L28">
        <f>SUM(L18:L25)/2</f>
        <v>1464.6476800000003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SWAMP</cp:lastModifiedBy>
  <dcterms:created xsi:type="dcterms:W3CDTF">2020-08-07T12:07:09Z</dcterms:created>
  <dcterms:modified xsi:type="dcterms:W3CDTF">2024-08-15T03:33:05Z</dcterms:modified>
</cp:coreProperties>
</file>